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1760" activeTab="0"/>
  </bookViews>
  <sheets>
    <sheet name="Instructions" sheetId="1" r:id="rId1"/>
    <sheet name="Summary" sheetId="2" r:id="rId2"/>
    <sheet name="Code 125" sheetId="3" r:id="rId3"/>
    <sheet name="Code 100" sheetId="4" r:id="rId4"/>
    <sheet name="Updates" sheetId="5" r:id="rId5"/>
  </sheets>
  <definedNames/>
  <calcPr fullCalcOnLoad="1"/>
</workbook>
</file>

<file path=xl/comments4.xml><?xml version="1.0" encoding="utf-8"?>
<comments xmlns="http://schemas.openxmlformats.org/spreadsheetml/2006/main">
  <authors>
    <author>Michael Greene</author>
  </authors>
  <commentList>
    <comment ref="E11" authorId="0">
      <text>
        <r>
          <rPr>
            <b/>
            <sz val="8"/>
            <rFont val="Tahoma"/>
            <family val="0"/>
          </rPr>
          <t>Michael Greene:</t>
        </r>
        <r>
          <rPr>
            <sz val="8"/>
            <rFont val="Tahoma"/>
            <family val="0"/>
          </rPr>
          <t xml:space="preserve">
3/15/2002 Temporarily discontinued according to their web site</t>
        </r>
      </text>
    </comment>
  </commentList>
</comments>
</file>

<file path=xl/sharedStrings.xml><?xml version="1.0" encoding="utf-8"?>
<sst xmlns="http://schemas.openxmlformats.org/spreadsheetml/2006/main" count="244" uniqueCount="166">
  <si>
    <t>Cost of track per foot - Does not include roadbed (cork, Homabed, etc.), or subroadbed, or "shop supplies" (e.g., glue)</t>
  </si>
  <si>
    <t>Code 125 Flex</t>
  </si>
  <si>
    <t>List Price</t>
  </si>
  <si>
    <t>List Price per foot</t>
  </si>
  <si>
    <t>My Price per foot</t>
  </si>
  <si>
    <t>Notes</t>
  </si>
  <si>
    <t>Code 125 Hand layed track</t>
  </si>
  <si>
    <t>Mt. Albert 8' or 8'6" wood ties (850/bag)</t>
  </si>
  <si>
    <t>Kappler 8' or 8'6" wood ties (850/bag)</t>
  </si>
  <si>
    <t>Micro-Engineering 1/4" spikes (approx 1000/bag)</t>
  </si>
  <si>
    <t>Micro-Engineering 3/8" spikes (approx 800/bag)</t>
  </si>
  <si>
    <t>Micro-Engineering 3/8" spikes BULK (approx 12000/pkg)</t>
  </si>
  <si>
    <t>Micro-Engineering 1/4" spikes BULK (approx 15000/pkg)</t>
  </si>
  <si>
    <t>Code 125 Summary</t>
  </si>
  <si>
    <t>+ LABOR</t>
  </si>
  <si>
    <t>Qty per pkg</t>
  </si>
  <si>
    <t>Qty per foot</t>
  </si>
  <si>
    <t>Code 100 Flex</t>
  </si>
  <si>
    <t>Code 100 Hand layed track</t>
  </si>
  <si>
    <t>Code 100 Summary</t>
  </si>
  <si>
    <t>Micro Engineering Code 100 non-weathered rail (99' per pkg)</t>
  </si>
  <si>
    <t>36" pieces, 6per pkg</t>
  </si>
  <si>
    <t>Banta Model Works/Tomalco Track code 100, weathered</t>
  </si>
  <si>
    <t>Length</t>
  </si>
  <si>
    <t>39" pieces, 6per pkg</t>
  </si>
  <si>
    <t>Banta Model Works/Tomalco Track code 100, non-weathered</t>
  </si>
  <si>
    <t>Scenery Unlimited / Shinohara code 100, non-weathered</t>
  </si>
  <si>
    <t>Banta/Tomalco Code 100 Flex - non-weathered</t>
  </si>
  <si>
    <t>Banta/Tomalco Code 100 Flex - weathered</t>
  </si>
  <si>
    <t>Micro Engineering Code 100 weathered rail (99' per pkg)</t>
  </si>
  <si>
    <t>Enter number of feet of track to be layed</t>
  </si>
  <si>
    <t>OPTIONS</t>
  </si>
  <si>
    <t>It does not take into account the price of roadbed (cork, HomaBed, etc.), sub-roadbed, ballast, shop supplies (e.g., glue), shipping and taxes</t>
  </si>
  <si>
    <t>Key to colors:</t>
  </si>
  <si>
    <t>A field that the workbook developer has set based on research. It can be altered, but care should be exercised</t>
  </si>
  <si>
    <t>Instructions</t>
  </si>
  <si>
    <t>1) Select up to four dealers that you want to use in your calculations</t>
  </si>
  <si>
    <t>2) Decide if you want to consider Code 100, Code 125, or both</t>
  </si>
  <si>
    <t>3) Based on you choices in 1 and 2 above, go to the Code 100 and/or Code 125 tabs and complete the Yellow boxes</t>
  </si>
  <si>
    <t>Dealer 1</t>
  </si>
  <si>
    <t>Dealer 2</t>
  </si>
  <si>
    <t>Dealer 3</t>
  </si>
  <si>
    <t>Dealer 4</t>
  </si>
  <si>
    <t>My Price</t>
  </si>
  <si>
    <t>Your prices will be show on the Summary tab. Remember you may have other charges like taxes, shipping, etc. on top of these estimated prices</t>
  </si>
  <si>
    <t>Shopping List</t>
  </si>
  <si>
    <t>Qty</t>
  </si>
  <si>
    <t>Unit</t>
  </si>
  <si>
    <t>Item</t>
  </si>
  <si>
    <t>SHS Flex</t>
  </si>
  <si>
    <t>bulk pkg</t>
  </si>
  <si>
    <t>pkg</t>
  </si>
  <si>
    <t>Ties</t>
  </si>
  <si>
    <t>Choose appropriate Mt. Albert or Kappler item number based on desired length</t>
  </si>
  <si>
    <t>Micro Engineering 1/4" spikes Bulk Pack</t>
  </si>
  <si>
    <t>Micro Engineering Code 125 Rail</t>
  </si>
  <si>
    <t>Pieces Required</t>
  </si>
  <si>
    <t>Construction Constants</t>
  </si>
  <si>
    <t>ties per foot, based on TR 40-44/ft + waste</t>
  </si>
  <si>
    <t>pikes/ft, based on TR 32-40/ft, spikes every other tie, and waste</t>
  </si>
  <si>
    <t>feet of rail per foot of track</t>
  </si>
  <si>
    <t>fee of flextrack per foot of track</t>
  </si>
  <si>
    <t xml:space="preserve">Cost of track per foot - Does not include roadbed (cork, Homabed, etc.), </t>
  </si>
  <si>
    <t xml:space="preserve">       or subroadbed, or "shop supplies" (e.g., glue)</t>
  </si>
  <si>
    <t>This workbook is designed to assist the user in estimating the price of laying flex track vs. hand laying track in S scale.</t>
  </si>
  <si>
    <t>It includes list pricing information &amp; calculations and provides the opportunity for the workbook user to enter pricing from their preferred dealer(s).</t>
  </si>
  <si>
    <t>If pricing information is entered for more than one dealer, then comparison pricing is possible.</t>
  </si>
  <si>
    <t>On each rail size tab (e.g., "Code 125") on the upper right corner of the sheet you will find 4 boxes which are the Construction Constants</t>
  </si>
  <si>
    <t xml:space="preserve">   If you decide to alter these based on your preferences, please remember that these Construction Constants are set SEPARATELY on </t>
  </si>
  <si>
    <t xml:space="preserve">   each rail size tab, so be sure to change on each tab if desired.</t>
  </si>
  <si>
    <t>Micro Engineering 3/8" spikes Bulk Pack</t>
  </si>
  <si>
    <t>SHS #00466  (use SHS #00465 to purchase flextrack in 6/pkg quantity)</t>
  </si>
  <si>
    <t>Micro Engineering #30105  (use M E #30106 for small packages)</t>
  </si>
  <si>
    <t>Micro Engineering #30103  (use M E #30104 for small packages)</t>
  </si>
  <si>
    <t>Micro Engineering # 30106</t>
  </si>
  <si>
    <t>Micro Engineering # 30105</t>
  </si>
  <si>
    <t>Micro Engineering # 30104</t>
  </si>
  <si>
    <t>Micro Engineering # 30103</t>
  </si>
  <si>
    <t>NOTE: You will find a Shopping List to the right side of the spreadsheet</t>
  </si>
  <si>
    <t>It also does not attempt to account for the intangibles -- labor cost for time to handlay, look &amp; feel of hand laid track vs. flex track, etc.</t>
  </si>
  <si>
    <t xml:space="preserve">4) Once you have completed the yellow boxes in the appropriate tabs, then go to the Summary tab and enter the number of feet of track to be laid. </t>
  </si>
  <si>
    <t>Hand lay non-weathered with 1/4" spikes BULK</t>
  </si>
  <si>
    <t>Hand lay non-weathered with 3/8" spikes BULK</t>
  </si>
  <si>
    <t>Hand lay weathered with 1/4" spikes BULK</t>
  </si>
  <si>
    <t>Hand lay weathered with 3/8" spikes BULK</t>
  </si>
  <si>
    <r>
      <t xml:space="preserve">Hand lay </t>
    </r>
    <r>
      <rPr>
        <b/>
        <sz val="10"/>
        <rFont val="Arial"/>
        <family val="2"/>
      </rPr>
      <t>non-weathered</t>
    </r>
    <r>
      <rPr>
        <sz val="10"/>
        <rFont val="Arial"/>
        <family val="0"/>
      </rPr>
      <t xml:space="preserve"> with 3/8" spikes BULK</t>
    </r>
  </si>
  <si>
    <r>
      <t xml:space="preserve">Hand lay </t>
    </r>
    <r>
      <rPr>
        <b/>
        <sz val="10"/>
        <rFont val="Arial"/>
        <family val="2"/>
      </rPr>
      <t>non-weathered</t>
    </r>
    <r>
      <rPr>
        <sz val="10"/>
        <rFont val="Arial"/>
        <family val="0"/>
      </rPr>
      <t xml:space="preserve"> with 1/4" spikes BULK</t>
    </r>
  </si>
  <si>
    <r>
      <t xml:space="preserve">Hand lay </t>
    </r>
    <r>
      <rPr>
        <b/>
        <sz val="10"/>
        <rFont val="Arial"/>
        <family val="2"/>
      </rPr>
      <t>weathered</t>
    </r>
    <r>
      <rPr>
        <sz val="10"/>
        <rFont val="Arial"/>
        <family val="0"/>
      </rPr>
      <t xml:space="preserve"> with 1/4" spikes BULK</t>
    </r>
  </si>
  <si>
    <r>
      <t xml:space="preserve">Hand lay </t>
    </r>
    <r>
      <rPr>
        <b/>
        <sz val="10"/>
        <rFont val="Arial"/>
        <family val="2"/>
      </rPr>
      <t>weathered</t>
    </r>
    <r>
      <rPr>
        <sz val="10"/>
        <rFont val="Arial"/>
        <family val="0"/>
      </rPr>
      <t xml:space="preserve"> with 3/8" spikes BULK</t>
    </r>
  </si>
  <si>
    <t>Micro Engineering # 16125</t>
  </si>
  <si>
    <t>Micro Engineering # 17125</t>
  </si>
  <si>
    <t>Micro Engineering # 17100</t>
  </si>
  <si>
    <t>Micro Engineering # 16100</t>
  </si>
  <si>
    <t>Hand lay Code 125 or Code 100</t>
  </si>
  <si>
    <t>Choose weathered (#16xxx) or non-weathered (#17xxx) where xxx is the code</t>
  </si>
  <si>
    <t>Banta Modelworks # T-1004</t>
  </si>
  <si>
    <t xml:space="preserve"> *Your price may actually be higher than the numbers calculated here due to addition of shipping &amp; handling charges, taxes, and the fact that on some items we used the bulk package pricing, and so more than the exact required quantity may need to be purchased. You may find that the manufacturer offers smaller packages at higher per piece prices, so a combination of bulk packages and smaller packages may give you the best price.</t>
  </si>
  <si>
    <t>Total List Price*</t>
  </si>
  <si>
    <t>Total My Price*</t>
  </si>
  <si>
    <t>name</t>
  </si>
  <si>
    <t xml:space="preserve">   for hand laying track. The numbers for spikes and ties are based on modeling experience PLUS some additional for waste, loss, etc.</t>
  </si>
  <si>
    <t>A field where the user should enter/change/modify the value</t>
  </si>
  <si>
    <t>A calculated field that should NOT be altered by the user</t>
  </si>
  <si>
    <t>NOTES:</t>
  </si>
  <si>
    <t>1) If you're just interested in list pricing, completion of the dealer pricing information is not required</t>
  </si>
  <si>
    <t>2) If dealer pricing is entered, the lowest dealer price from among those entered will be used, so purchases are not restricted to a single dealer.</t>
  </si>
  <si>
    <t>Estimating &amp; Pricing Flex vs. Hand laying track in S scale</t>
  </si>
  <si>
    <t>The list price research was completed in early March 2002, with updates as noted on the Updates tab. If you are using it substantially</t>
  </si>
  <si>
    <t>after this time, you may need to research and update as required.</t>
  </si>
  <si>
    <t>Date</t>
  </si>
  <si>
    <t>Update(s)</t>
  </si>
  <si>
    <t>C</t>
  </si>
  <si>
    <t>Revision</t>
  </si>
  <si>
    <t>Initial issue</t>
  </si>
  <si>
    <t>D</t>
  </si>
  <si>
    <t>Added Right-O-Way Code 125; added S Helper Service Code 125 rail joiner details</t>
  </si>
  <si>
    <t>Created by:</t>
  </si>
  <si>
    <t>Michael Greene (initial release March 2002)</t>
  </si>
  <si>
    <t>Revision:</t>
  </si>
  <si>
    <t xml:space="preserve">D </t>
  </si>
  <si>
    <t>(9 Feb 2003) - see Updates tab in workbook for revision history</t>
  </si>
  <si>
    <t>Notes:</t>
  </si>
  <si>
    <t>Code 125 Rail Joiners</t>
  </si>
  <si>
    <t>S Helper Service Code 125 insulated (plastic) weathered rail joiners</t>
  </si>
  <si>
    <t>NOTE: If using S Helper Service Flex, 2 metal rail joiners are</t>
  </si>
  <si>
    <t>S Helper Service # 00660</t>
  </si>
  <si>
    <t>S Helper Service # 00254</t>
  </si>
  <si>
    <t>metal rail joiners if required; for Flex add all required</t>
  </si>
  <si>
    <t>Right-O'-Way Code 125 metal (N/S) with nut/bolt detail rail joiners</t>
  </si>
  <si>
    <t>Right-O'-Way Code 125 insulating plastic rail joiners</t>
  </si>
  <si>
    <t>Right-O'-Way # NJ25</t>
  </si>
  <si>
    <t>Right-O'-Way # IJ25</t>
  </si>
  <si>
    <t>Quantity of RJ to purchase</t>
  </si>
  <si>
    <t>Rail Joiners</t>
  </si>
  <si>
    <t>SHS Code 125 metal rail joiners</t>
  </si>
  <si>
    <t>SHS Code 125 insulated weathered plastic rail joiners</t>
  </si>
  <si>
    <t>SHS # 00254</t>
  </si>
  <si>
    <t>SHS # 00660</t>
  </si>
  <si>
    <t>Right-O'-Way #NJ25</t>
  </si>
  <si>
    <t>Right-O'-Way #IJ25</t>
  </si>
  <si>
    <t>3) Does not yet include Code 100 rail joiners in calculations</t>
  </si>
  <si>
    <t>Right-O'-Way Code 125 Nickel Silver rail</t>
  </si>
  <si>
    <t>Right-O'-Way Code 125 Nickel Silver</t>
  </si>
  <si>
    <t>Total</t>
  </si>
  <si>
    <t>My Total Price</t>
  </si>
  <si>
    <t>Total List Price</t>
  </si>
  <si>
    <t>Code  125 Rail Joiner Total</t>
  </si>
  <si>
    <t>+ LABOR + RAIL JOINERS</t>
  </si>
  <si>
    <t>included with each piece of flex, so only add additional</t>
  </si>
  <si>
    <t>(N/S) = nickel silver rail</t>
  </si>
  <si>
    <t>Micro Engineering Code 125 non-weathered N/S rail (99' per pkg)</t>
  </si>
  <si>
    <t>Micro Engineering Code 125 weathered N/S rail (99' per pkg)</t>
  </si>
  <si>
    <t>S Helper Service N/S flex (purchased in bulk pack (24 pieces/pkg))</t>
  </si>
  <si>
    <t>S Helper Service N/S flex (purchased in standard pack (6 pieces/pkg))</t>
  </si>
  <si>
    <t>Right-O'-Way Code 125 non-weathered N/S rail</t>
  </si>
  <si>
    <r>
      <t xml:space="preserve">Hand lay Micro-Engineering </t>
    </r>
    <r>
      <rPr>
        <b/>
        <sz val="10"/>
        <rFont val="Arial"/>
        <family val="2"/>
      </rPr>
      <t>non-weathered</t>
    </r>
    <r>
      <rPr>
        <sz val="10"/>
        <rFont val="Arial"/>
        <family val="0"/>
      </rPr>
      <t xml:space="preserve"> N/S with 1/4" spikes BULK</t>
    </r>
  </si>
  <si>
    <r>
      <t xml:space="preserve">Hand lay Micro-Engineering </t>
    </r>
    <r>
      <rPr>
        <b/>
        <sz val="10"/>
        <rFont val="Arial"/>
        <family val="2"/>
      </rPr>
      <t>non-weathered</t>
    </r>
    <r>
      <rPr>
        <sz val="10"/>
        <rFont val="Arial"/>
        <family val="0"/>
      </rPr>
      <t xml:space="preserve"> N/S with 3/8" spikes BULK</t>
    </r>
  </si>
  <si>
    <r>
      <t xml:space="preserve">Hand lay Micro-Engineering </t>
    </r>
    <r>
      <rPr>
        <b/>
        <sz val="10"/>
        <rFont val="Arial"/>
        <family val="2"/>
      </rPr>
      <t>weathered</t>
    </r>
    <r>
      <rPr>
        <sz val="10"/>
        <rFont val="Arial"/>
        <family val="0"/>
      </rPr>
      <t xml:space="preserve"> N/S with 1/4" spikes BULK</t>
    </r>
  </si>
  <si>
    <r>
      <t xml:space="preserve">Hand lay Micro-Engineering </t>
    </r>
    <r>
      <rPr>
        <b/>
        <sz val="10"/>
        <rFont val="Arial"/>
        <family val="2"/>
      </rPr>
      <t>weathered</t>
    </r>
    <r>
      <rPr>
        <sz val="10"/>
        <rFont val="Arial"/>
        <family val="0"/>
      </rPr>
      <t xml:space="preserve"> N/S with 3/8" spikes BULK</t>
    </r>
  </si>
  <si>
    <r>
      <t xml:space="preserve">Hand lay Right-O'-Way </t>
    </r>
    <r>
      <rPr>
        <b/>
        <sz val="10"/>
        <rFont val="Arial"/>
        <family val="2"/>
      </rPr>
      <t>non-weathered</t>
    </r>
    <r>
      <rPr>
        <sz val="10"/>
        <rFont val="Arial"/>
        <family val="0"/>
      </rPr>
      <t xml:space="preserve"> N/S with 1/4" spikes BULK</t>
    </r>
  </si>
  <si>
    <r>
      <t xml:space="preserve">Hand lay Right-O'-Way </t>
    </r>
    <r>
      <rPr>
        <b/>
        <sz val="10"/>
        <rFont val="Arial"/>
        <family val="2"/>
      </rPr>
      <t>non-weathered</t>
    </r>
    <r>
      <rPr>
        <sz val="10"/>
        <rFont val="Arial"/>
        <family val="0"/>
      </rPr>
      <t xml:space="preserve"> N/S with 3/8" spikes BULK</t>
    </r>
  </si>
  <si>
    <t>40" pieces, 24/box, includes 2 weathered metal rail joiners per piece of flex</t>
  </si>
  <si>
    <t>40" pieces, 6/box, includes 2 weathered metal rail joiners per piece of flex</t>
  </si>
  <si>
    <t xml:space="preserve">S Helper Service Code 125 weathered metal (N/S) rail joiners </t>
  </si>
  <si>
    <t>SHS Flex - weathered N/S</t>
  </si>
  <si>
    <t>Right-O'-Way Code 125 Rail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</si>
</sst>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
    <numFmt numFmtId="166" formatCode="0.0000000000"/>
    <numFmt numFmtId="167" formatCode="0.00000000"/>
    <numFmt numFmtId="168" formatCode="0.0000000"/>
    <numFmt numFmtId="169" formatCode="0.000000"/>
    <numFmt numFmtId="170" formatCode="0.00000"/>
    <numFmt numFmtId="171" formatCode="0.0000"/>
    <numFmt numFmtId="172" formatCode="0.000"/>
    <numFmt numFmtId="173" formatCode="#,##0.0_);\(#,##0.0\)"/>
    <numFmt numFmtId="174" formatCode="_(&quot;$&quot;* #,##0.0_);_(&quot;$&quot;* \(#,##0.0\);_(&quot;$&quot;* &quot;-&quot;??_);_(@_)"/>
    <numFmt numFmtId="175" formatCode="_(&quot;$&quot;* #,##0_);_(&quot;$&quot;* \(#,##0\);_(&quot;$&quot;* &quot;-&quot;??_);_(@_)"/>
  </numFmts>
  <fonts count="12">
    <font>
      <sz val="10"/>
      <name val="Arial"/>
      <family val="0"/>
    </font>
    <font>
      <b/>
      <sz val="10"/>
      <name val="Arial"/>
      <family val="2"/>
    </font>
    <font>
      <b/>
      <u val="single"/>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u val="single"/>
      <sz val="12"/>
      <name val="Arial"/>
      <family val="2"/>
    </font>
    <font>
      <b/>
      <sz val="12"/>
      <name val="Arial"/>
      <family val="2"/>
    </font>
    <font>
      <b/>
      <i/>
      <sz val="10"/>
      <name val="Arial"/>
      <family val="2"/>
    </font>
    <font>
      <b/>
      <sz val="8"/>
      <name val="Arial"/>
      <family val="2"/>
    </font>
  </fonts>
  <fills count="6">
    <fill>
      <patternFill/>
    </fill>
    <fill>
      <patternFill patternType="gray125"/>
    </fill>
    <fill>
      <patternFill patternType="solid">
        <fgColor indexed="55"/>
        <bgColor indexed="64"/>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s>
  <borders count="11">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wrapText="1"/>
    </xf>
    <xf numFmtId="44" fontId="0" fillId="0" borderId="0" xfId="17" applyAlignment="1">
      <alignment/>
    </xf>
    <xf numFmtId="0" fontId="1" fillId="0" borderId="0" xfId="0" applyFont="1" applyAlignment="1" quotePrefix="1">
      <alignment/>
    </xf>
    <xf numFmtId="0" fontId="0" fillId="0" borderId="0" xfId="0" applyAlignment="1">
      <alignment horizontal="center"/>
    </xf>
    <xf numFmtId="0" fontId="2" fillId="0" borderId="0" xfId="0" applyFont="1" applyAlignment="1">
      <alignment horizontal="center"/>
    </xf>
    <xf numFmtId="0" fontId="0" fillId="2" borderId="0" xfId="0" applyFill="1" applyAlignment="1">
      <alignment/>
    </xf>
    <xf numFmtId="0" fontId="1" fillId="2" borderId="0" xfId="0" applyFont="1" applyFill="1" applyAlignment="1">
      <alignment horizontal="center" wrapText="1"/>
    </xf>
    <xf numFmtId="0" fontId="2" fillId="2" borderId="0" xfId="0" applyFont="1" applyFill="1" applyAlignment="1">
      <alignment/>
    </xf>
    <xf numFmtId="0" fontId="0" fillId="2" borderId="0" xfId="0" applyFill="1" applyAlignment="1">
      <alignment horizontal="center"/>
    </xf>
    <xf numFmtId="0" fontId="2" fillId="2" borderId="0" xfId="0" applyFont="1" applyFill="1" applyAlignment="1">
      <alignment horizontal="center"/>
    </xf>
    <xf numFmtId="0" fontId="1" fillId="2" borderId="0" xfId="0" applyFont="1" applyFill="1" applyAlignment="1">
      <alignment/>
    </xf>
    <xf numFmtId="44" fontId="0" fillId="2" borderId="0" xfId="17" applyFill="1" applyAlignment="1">
      <alignment/>
    </xf>
    <xf numFmtId="44" fontId="0" fillId="2" borderId="0" xfId="17" applyFont="1" applyFill="1" applyAlignment="1">
      <alignment/>
    </xf>
    <xf numFmtId="0" fontId="0" fillId="0" borderId="0" xfId="0" applyFill="1" applyAlignment="1">
      <alignment/>
    </xf>
    <xf numFmtId="0" fontId="1" fillId="0" borderId="0" xfId="0" applyFont="1" applyFill="1" applyAlignment="1">
      <alignment horizontal="center" wrapText="1"/>
    </xf>
    <xf numFmtId="44" fontId="0" fillId="0" borderId="0" xfId="17" applyFill="1" applyAlignment="1">
      <alignment/>
    </xf>
    <xf numFmtId="37" fontId="0" fillId="0" borderId="0" xfId="17" applyNumberFormat="1" applyFill="1" applyAlignment="1">
      <alignment horizontal="center"/>
    </xf>
    <xf numFmtId="0" fontId="8" fillId="0" borderId="0" xfId="0" applyFont="1" applyAlignment="1">
      <alignment/>
    </xf>
    <xf numFmtId="0" fontId="8" fillId="0" borderId="0" xfId="0" applyFont="1" applyAlignment="1">
      <alignment horizontal="center"/>
    </xf>
    <xf numFmtId="0" fontId="1" fillId="3" borderId="1" xfId="0" applyFont="1" applyFill="1" applyBorder="1" applyAlignment="1">
      <alignment horizontal="center"/>
    </xf>
    <xf numFmtId="0" fontId="0" fillId="4" borderId="0" xfId="0" applyFill="1" applyAlignment="1">
      <alignment/>
    </xf>
    <xf numFmtId="44" fontId="0" fillId="4" borderId="0" xfId="17" applyFill="1" applyAlignment="1">
      <alignment/>
    </xf>
    <xf numFmtId="44" fontId="0" fillId="4" borderId="1" xfId="17" applyFill="1" applyBorder="1" applyAlignment="1">
      <alignment/>
    </xf>
    <xf numFmtId="0" fontId="9" fillId="0" borderId="0" xfId="0" applyFont="1" applyAlignment="1">
      <alignment/>
    </xf>
    <xf numFmtId="0" fontId="0" fillId="3" borderId="0" xfId="0" applyFill="1" applyAlignment="1">
      <alignment/>
    </xf>
    <xf numFmtId="0" fontId="1" fillId="0" borderId="1" xfId="0" applyFont="1" applyFill="1" applyBorder="1" applyAlignment="1">
      <alignment horizontal="center"/>
    </xf>
    <xf numFmtId="44" fontId="0" fillId="5" borderId="0" xfId="17" applyFill="1" applyAlignment="1">
      <alignment/>
    </xf>
    <xf numFmtId="0" fontId="0" fillId="5" borderId="0" xfId="0" applyFill="1" applyAlignment="1">
      <alignment/>
    </xf>
    <xf numFmtId="0" fontId="0" fillId="5" borderId="0" xfId="0" applyFill="1" applyAlignment="1">
      <alignment horizontal="center"/>
    </xf>
    <xf numFmtId="44" fontId="0" fillId="3" borderId="1" xfId="17" applyFill="1" applyBorder="1" applyAlignment="1">
      <alignment/>
    </xf>
    <xf numFmtId="44" fontId="0" fillId="3" borderId="1" xfId="17" applyFont="1" applyFill="1" applyBorder="1" applyAlignment="1">
      <alignment/>
    </xf>
    <xf numFmtId="44" fontId="0" fillId="5" borderId="0" xfId="17" applyFont="1" applyFill="1" applyAlignment="1">
      <alignment/>
    </xf>
    <xf numFmtId="0" fontId="1" fillId="0" borderId="1" xfId="0" applyFont="1" applyBorder="1" applyAlignment="1">
      <alignment horizontal="center"/>
    </xf>
    <xf numFmtId="0" fontId="1" fillId="0" borderId="0" xfId="0" applyFont="1" applyFill="1" applyAlignment="1" quotePrefix="1">
      <alignment/>
    </xf>
    <xf numFmtId="0" fontId="8" fillId="0" borderId="0" xfId="0" applyFont="1" applyFill="1" applyAlignment="1">
      <alignment/>
    </xf>
    <xf numFmtId="1" fontId="0" fillId="0" borderId="0" xfId="0" applyNumberFormat="1" applyAlignment="1">
      <alignment horizontal="center"/>
    </xf>
    <xf numFmtId="0" fontId="2" fillId="0" borderId="0" xfId="0" applyFont="1" applyAlignment="1">
      <alignment horizontal="left"/>
    </xf>
    <xf numFmtId="0" fontId="8" fillId="0" borderId="0" xfId="0" applyFont="1" applyFill="1" applyAlignment="1">
      <alignment horizontal="center"/>
    </xf>
    <xf numFmtId="37" fontId="0" fillId="4" borderId="0" xfId="17" applyNumberFormat="1" applyFill="1" applyAlignment="1">
      <alignment horizontal="center"/>
    </xf>
    <xf numFmtId="37" fontId="0" fillId="4" borderId="0" xfId="17" applyNumberFormat="1" applyFont="1" applyFill="1" applyAlignment="1">
      <alignment horizontal="center"/>
    </xf>
    <xf numFmtId="0" fontId="2" fillId="0" borderId="2" xfId="0" applyFont="1" applyFill="1" applyBorder="1" applyAlignment="1">
      <alignment/>
    </xf>
    <xf numFmtId="0" fontId="0" fillId="0" borderId="3" xfId="0" applyBorder="1" applyAlignment="1">
      <alignment/>
    </xf>
    <xf numFmtId="0" fontId="0" fillId="0" borderId="4" xfId="0" applyBorder="1" applyAlignment="1">
      <alignment/>
    </xf>
    <xf numFmtId="0" fontId="0" fillId="0" borderId="5" xfId="0" applyFill="1" applyBorder="1" applyAlignment="1">
      <alignment/>
    </xf>
    <xf numFmtId="0" fontId="0" fillId="5" borderId="0" xfId="0" applyFill="1" applyBorder="1" applyAlignment="1">
      <alignment horizontal="center"/>
    </xf>
    <xf numFmtId="0" fontId="0" fillId="0" borderId="0" xfId="0" applyBorder="1" applyAlignment="1">
      <alignment/>
    </xf>
    <xf numFmtId="0" fontId="0" fillId="0" borderId="6" xfId="0" applyBorder="1" applyAlignment="1">
      <alignment/>
    </xf>
    <xf numFmtId="0" fontId="0" fillId="0" borderId="7" xfId="0" applyFill="1" applyBorder="1" applyAlignment="1">
      <alignment/>
    </xf>
    <xf numFmtId="0" fontId="0" fillId="5" borderId="8" xfId="0" applyFill="1" applyBorder="1" applyAlignment="1">
      <alignment horizontal="center"/>
    </xf>
    <xf numFmtId="0" fontId="0" fillId="0" borderId="8" xfId="0" applyBorder="1" applyAlignment="1">
      <alignment/>
    </xf>
    <xf numFmtId="0" fontId="0" fillId="0" borderId="9" xfId="0" applyBorder="1" applyAlignment="1">
      <alignment/>
    </xf>
    <xf numFmtId="0" fontId="10" fillId="3" borderId="1" xfId="0" applyFont="1" applyFill="1" applyBorder="1" applyAlignment="1">
      <alignment horizontal="center"/>
    </xf>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left"/>
    </xf>
    <xf numFmtId="0" fontId="0" fillId="0" borderId="0" xfId="0" applyFont="1" applyAlignment="1">
      <alignment/>
    </xf>
    <xf numFmtId="37" fontId="1" fillId="0" borderId="0" xfId="17" applyNumberFormat="1" applyFont="1" applyFill="1" applyAlignment="1">
      <alignment horizontal="center"/>
    </xf>
    <xf numFmtId="37" fontId="0" fillId="3" borderId="1" xfId="17" applyNumberFormat="1" applyFill="1" applyBorder="1" applyAlignment="1">
      <alignment horizontal="center"/>
    </xf>
    <xf numFmtId="37" fontId="0" fillId="0" borderId="0" xfId="0" applyNumberFormat="1" applyAlignment="1">
      <alignment horizontal="center"/>
    </xf>
    <xf numFmtId="44" fontId="0" fillId="4" borderId="1" xfId="0" applyNumberFormat="1" applyFill="1" applyBorder="1" applyAlignment="1">
      <alignment/>
    </xf>
    <xf numFmtId="44" fontId="0" fillId="4" borderId="0" xfId="17" applyFill="1" applyAlignment="1">
      <alignment horizontal="center"/>
    </xf>
    <xf numFmtId="0" fontId="1" fillId="0" borderId="0" xfId="0" applyFont="1" applyAlignment="1">
      <alignment wrapText="1"/>
    </xf>
    <xf numFmtId="0" fontId="0" fillId="0" borderId="0" xfId="0" applyAlignment="1">
      <alignment/>
    </xf>
    <xf numFmtId="37" fontId="1" fillId="0" borderId="0" xfId="17" applyNumberFormat="1" applyFont="1" applyFill="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44" fontId="1" fillId="0" borderId="0" xfId="17"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5"/>
  <sheetViews>
    <sheetView tabSelected="1" workbookViewId="0" topLeftCell="A1">
      <selection activeCell="C35" sqref="C35"/>
    </sheetView>
  </sheetViews>
  <sheetFormatPr defaultColWidth="9.140625" defaultRowHeight="12.75"/>
  <cols>
    <col min="1" max="1" width="11.57421875" style="0" customWidth="1"/>
  </cols>
  <sheetData>
    <row r="1" ht="15.75">
      <c r="A1" s="26" t="s">
        <v>106</v>
      </c>
    </row>
    <row r="3" spans="1:2" ht="12.75">
      <c r="A3" t="s">
        <v>116</v>
      </c>
      <c r="B3" t="s">
        <v>117</v>
      </c>
    </row>
    <row r="4" spans="1:3" ht="12.75">
      <c r="A4" t="s">
        <v>118</v>
      </c>
      <c r="B4" s="6" t="s">
        <v>119</v>
      </c>
      <c r="C4" t="s">
        <v>120</v>
      </c>
    </row>
    <row r="6" ht="12.75">
      <c r="A6" t="s">
        <v>64</v>
      </c>
    </row>
    <row r="7" ht="12.75">
      <c r="A7" t="s">
        <v>65</v>
      </c>
    </row>
    <row r="8" ht="12.75">
      <c r="A8" t="s">
        <v>66</v>
      </c>
    </row>
    <row r="9" ht="12.75">
      <c r="A9" t="s">
        <v>32</v>
      </c>
    </row>
    <row r="10" ht="12.75">
      <c r="A10" t="s">
        <v>79</v>
      </c>
    </row>
    <row r="12" ht="12.75">
      <c r="A12" t="s">
        <v>107</v>
      </c>
    </row>
    <row r="13" ht="12.75">
      <c r="A13" t="s">
        <v>108</v>
      </c>
    </row>
    <row r="15" ht="12.75">
      <c r="A15" t="s">
        <v>67</v>
      </c>
    </row>
    <row r="16" ht="12.75">
      <c r="A16" t="s">
        <v>100</v>
      </c>
    </row>
    <row r="17" ht="12.75">
      <c r="A17" t="s">
        <v>68</v>
      </c>
    </row>
    <row r="18" ht="12.75">
      <c r="A18" t="s">
        <v>69</v>
      </c>
    </row>
    <row r="20" ht="12.75">
      <c r="A20" t="s">
        <v>33</v>
      </c>
    </row>
    <row r="21" spans="2:4" ht="12.75">
      <c r="B21" s="23"/>
      <c r="D21" t="s">
        <v>102</v>
      </c>
    </row>
    <row r="22" spans="2:4" ht="12.75">
      <c r="B22" s="27"/>
      <c r="D22" t="s">
        <v>101</v>
      </c>
    </row>
    <row r="23" spans="2:4" ht="12.75">
      <c r="B23" s="30"/>
      <c r="D23" t="s">
        <v>34</v>
      </c>
    </row>
    <row r="25" ht="12.75">
      <c r="A25" t="s">
        <v>35</v>
      </c>
    </row>
    <row r="26" ht="12.75">
      <c r="B26" t="s">
        <v>36</v>
      </c>
    </row>
    <row r="27" ht="12.75">
      <c r="B27" t="s">
        <v>37</v>
      </c>
    </row>
    <row r="28" ht="12.75">
      <c r="B28" t="s">
        <v>38</v>
      </c>
    </row>
    <row r="29" ht="12.75">
      <c r="B29" t="s">
        <v>80</v>
      </c>
    </row>
    <row r="30" ht="12.75">
      <c r="C30" t="s">
        <v>44</v>
      </c>
    </row>
    <row r="32" ht="12.75">
      <c r="B32" t="s">
        <v>103</v>
      </c>
    </row>
    <row r="33" ht="12.75">
      <c r="B33" t="s">
        <v>104</v>
      </c>
    </row>
    <row r="34" ht="12.75">
      <c r="B34" t="s">
        <v>105</v>
      </c>
    </row>
    <row r="35" ht="12.75">
      <c r="B35" t="s">
        <v>140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7"/>
  <sheetViews>
    <sheetView workbookViewId="0" topLeftCell="A1">
      <selection activeCell="C3" sqref="C3"/>
    </sheetView>
  </sheetViews>
  <sheetFormatPr defaultColWidth="9.140625" defaultRowHeight="12.75"/>
  <cols>
    <col min="1" max="1" width="57.57421875" style="0" customWidth="1"/>
    <col min="2" max="2" width="19.00390625" style="0" customWidth="1"/>
    <col min="3" max="3" width="19.8515625" style="0" customWidth="1"/>
    <col min="4" max="4" width="26.00390625" style="0" customWidth="1"/>
    <col min="5" max="5" width="1.57421875" style="8" customWidth="1"/>
    <col min="6" max="6" width="56.57421875" style="0" bestFit="1" customWidth="1"/>
    <col min="7" max="7" width="16.00390625" style="6" bestFit="1" customWidth="1"/>
    <col min="8" max="8" width="9.140625" style="6" customWidth="1"/>
    <col min="10" max="10" width="67.8515625" style="0" bestFit="1" customWidth="1"/>
  </cols>
  <sheetData>
    <row r="1" ht="12.75">
      <c r="A1" t="s">
        <v>78</v>
      </c>
    </row>
    <row r="3" spans="1:2" ht="12.75">
      <c r="A3" s="1" t="s">
        <v>30</v>
      </c>
      <c r="B3" s="22"/>
    </row>
    <row r="5" spans="1:7" ht="15.75">
      <c r="A5" s="20" t="s">
        <v>31</v>
      </c>
      <c r="B5" s="21" t="s">
        <v>97</v>
      </c>
      <c r="C5" s="21" t="s">
        <v>98</v>
      </c>
      <c r="F5" s="37" t="s">
        <v>45</v>
      </c>
      <c r="G5" s="40"/>
    </row>
    <row r="6" spans="6:10" ht="12.75">
      <c r="F6" s="7" t="s">
        <v>48</v>
      </c>
      <c r="G6" s="7" t="s">
        <v>56</v>
      </c>
      <c r="H6" s="7" t="s">
        <v>46</v>
      </c>
      <c r="I6" s="7" t="s">
        <v>47</v>
      </c>
      <c r="J6" s="39" t="s">
        <v>5</v>
      </c>
    </row>
    <row r="7" ht="12.75">
      <c r="A7" s="2" t="s">
        <v>13</v>
      </c>
    </row>
    <row r="8" spans="1:7" ht="12.75">
      <c r="A8" t="str">
        <f>'Code 125'!A35</f>
        <v>SHS Flex - weathered N/S</v>
      </c>
      <c r="B8" s="25">
        <f>'Code 125'!M35*$B$3</f>
        <v>0</v>
      </c>
      <c r="C8" s="25">
        <f>'Code 125'!N35*$B$3</f>
        <v>0</v>
      </c>
      <c r="F8" s="2" t="s">
        <v>1</v>
      </c>
      <c r="G8" s="7"/>
    </row>
    <row r="9" spans="1:10" ht="12.75">
      <c r="A9" t="str">
        <f>'Code 125'!A36</f>
        <v>Hand lay Micro-Engineering non-weathered N/S with 1/4" spikes BULK</v>
      </c>
      <c r="B9" s="25">
        <f>'Code 125'!M36*$B$3</f>
        <v>0</v>
      </c>
      <c r="C9" s="25">
        <f>'Code 125'!N36*$B$3</f>
        <v>0</v>
      </c>
      <c r="D9" s="36" t="s">
        <v>147</v>
      </c>
      <c r="F9" t="s">
        <v>49</v>
      </c>
      <c r="G9" s="6">
        <f>ROUNDUP(B3*12/'Code 125'!C11,0)</f>
        <v>0</v>
      </c>
      <c r="H9" s="38">
        <f>ROUNDUP(($B$3/('Code 125'!B11*'Code 125'!C11/12)),0)</f>
        <v>0</v>
      </c>
      <c r="I9" t="s">
        <v>50</v>
      </c>
      <c r="J9" t="s">
        <v>71</v>
      </c>
    </row>
    <row r="10" spans="1:4" ht="12.75">
      <c r="A10" t="str">
        <f>'Code 125'!A37</f>
        <v>Hand lay Micro-Engineering non-weathered N/S with 3/8" spikes BULK</v>
      </c>
      <c r="B10" s="25">
        <f>'Code 125'!M37*$B$3</f>
        <v>0</v>
      </c>
      <c r="C10" s="25">
        <f>'Code 125'!N37*$B$3</f>
        <v>0</v>
      </c>
      <c r="D10" s="36" t="s">
        <v>147</v>
      </c>
    </row>
    <row r="11" spans="1:7" ht="12.75">
      <c r="A11" t="str">
        <f>'Code 125'!A38</f>
        <v>Hand lay Micro-Engineering weathered N/S with 1/4" spikes BULK</v>
      </c>
      <c r="B11" s="25">
        <f>'Code 125'!M38*$B$3</f>
        <v>0</v>
      </c>
      <c r="C11" s="25">
        <f>'Code 125'!N38*$B$3</f>
        <v>0</v>
      </c>
      <c r="D11" s="36" t="s">
        <v>147</v>
      </c>
      <c r="F11" s="2" t="s">
        <v>93</v>
      </c>
      <c r="G11" s="7"/>
    </row>
    <row r="12" spans="1:10" ht="12.75">
      <c r="A12" t="str">
        <f>'Code 125'!A39</f>
        <v>Hand lay Micro-Engineering weathered N/S with 3/8" spikes BULK</v>
      </c>
      <c r="B12" s="25">
        <f>'Code 125'!M39*$B$3</f>
        <v>0</v>
      </c>
      <c r="C12" s="25">
        <f>'Code 125'!N39*$B$3</f>
        <v>0</v>
      </c>
      <c r="D12" s="36" t="s">
        <v>147</v>
      </c>
      <c r="F12" t="s">
        <v>55</v>
      </c>
      <c r="G12" s="6">
        <f>ROUNDUP(B3*'Code 125'!L15/('Code 125'!C15/12),0)</f>
        <v>0</v>
      </c>
      <c r="H12" s="6">
        <f>ROUNDUP(B3*'Code 125'!L15/('Code 125'!B15*'Code 125'!C15/12),0)</f>
        <v>0</v>
      </c>
      <c r="I12" t="s">
        <v>51</v>
      </c>
      <c r="J12" t="s">
        <v>94</v>
      </c>
    </row>
    <row r="13" spans="1:10" ht="12.75">
      <c r="A13" t="str">
        <f>'Code 125'!A40</f>
        <v>Hand lay Right-O'-Way non-weathered N/S with 1/4" spikes BULK</v>
      </c>
      <c r="B13" s="25">
        <f>'Code 125'!M40*$B$3</f>
        <v>0</v>
      </c>
      <c r="C13" s="25">
        <f>'Code 125'!N40*$B$3</f>
        <v>0</v>
      </c>
      <c r="D13" s="36" t="s">
        <v>147</v>
      </c>
      <c r="F13" t="s">
        <v>165</v>
      </c>
      <c r="G13" s="6">
        <f>ROUNDUP(B3*'Code 125'!L23/('Code 125'!C23/12),0)</f>
        <v>0</v>
      </c>
      <c r="H13" s="6">
        <f>ROUNDUP(B3*'Code 125'!L23/('Code 125'!B23*'Code 125'!C23/12),0)</f>
        <v>0</v>
      </c>
      <c r="I13" t="s">
        <v>51</v>
      </c>
      <c r="J13" t="s">
        <v>141</v>
      </c>
    </row>
    <row r="14" spans="1:4" ht="12.75">
      <c r="A14" t="str">
        <f>'Code 125'!A41</f>
        <v>Hand lay Right-O'-Way non-weathered N/S with 3/8" spikes BULK</v>
      </c>
      <c r="B14" s="25">
        <f>'Code 125'!M41*$B$3</f>
        <v>0</v>
      </c>
      <c r="C14" s="25">
        <f>'Code 125'!N41*$B$3</f>
        <v>0</v>
      </c>
      <c r="D14" s="36" t="s">
        <v>147</v>
      </c>
    </row>
    <row r="15" spans="1:10" ht="12.75">
      <c r="A15" t="s">
        <v>146</v>
      </c>
      <c r="B15" s="62">
        <f>'Code 125'!M33</f>
        <v>0</v>
      </c>
      <c r="C15" s="62">
        <f>'Code 125'!N33</f>
        <v>0</v>
      </c>
      <c r="F15" t="s">
        <v>52</v>
      </c>
      <c r="G15" s="6">
        <f>B3*'Code 125'!L17</f>
        <v>0</v>
      </c>
      <c r="H15" s="6">
        <f>ROUNDUP(B3*'Code 125'!L17/'Code 125'!B17,0)</f>
        <v>0</v>
      </c>
      <c r="I15" t="s">
        <v>51</v>
      </c>
      <c r="J15" t="s">
        <v>53</v>
      </c>
    </row>
    <row r="16" spans="6:10" ht="12.75">
      <c r="F16" t="s">
        <v>54</v>
      </c>
      <c r="G16" s="6">
        <f>B3*'Code 125'!L19</f>
        <v>0</v>
      </c>
      <c r="H16" s="6">
        <f>ROUNDUP(B3*'Code 125'!L19/'Code 125'!B20,0)</f>
        <v>0</v>
      </c>
      <c r="I16" t="s">
        <v>51</v>
      </c>
      <c r="J16" t="s">
        <v>72</v>
      </c>
    </row>
    <row r="17" spans="6:10" ht="12.75">
      <c r="F17" t="s">
        <v>70</v>
      </c>
      <c r="G17" s="6">
        <f>B3*'Code 125'!L19</f>
        <v>0</v>
      </c>
      <c r="H17" s="6">
        <f>ROUNDUP(B3*'Code 125'!L19/'Code 125'!B22,0)</f>
        <v>0</v>
      </c>
      <c r="I17" t="s">
        <v>51</v>
      </c>
      <c r="J17" t="s">
        <v>73</v>
      </c>
    </row>
    <row r="20" ht="12.75">
      <c r="F20" s="2" t="s">
        <v>17</v>
      </c>
    </row>
    <row r="21" spans="1:10" ht="12.75">
      <c r="A21" s="2" t="s">
        <v>19</v>
      </c>
      <c r="F21" t="s">
        <v>28</v>
      </c>
      <c r="G21" s="6">
        <f>ROUNDUP($B$3*12/'Code 100'!C12,0)</f>
        <v>0</v>
      </c>
      <c r="H21" s="6">
        <f>ROUNDUP(($B$3/('Code 100'!B12*'Code 100'!C12/12)),0)</f>
        <v>0</v>
      </c>
      <c r="I21" t="s">
        <v>51</v>
      </c>
      <c r="J21" t="s">
        <v>95</v>
      </c>
    </row>
    <row r="22" spans="1:9" ht="12.75">
      <c r="A22" t="s">
        <v>27</v>
      </c>
      <c r="B22" s="25">
        <f>'Code 100'!M26*$B$3</f>
        <v>0</v>
      </c>
      <c r="C22" s="25">
        <f>'Code 100'!N26*$B$3</f>
        <v>0</v>
      </c>
      <c r="F22" t="s">
        <v>26</v>
      </c>
      <c r="G22" s="6">
        <f>ROUNDUP($B$3*12/'Code 100'!C13,0)</f>
        <v>0</v>
      </c>
      <c r="H22" s="6">
        <f>ROUNDUP(($B$3/('Code 100'!B13*'Code 100'!C13/12)),0)</f>
        <v>0</v>
      </c>
      <c r="I22" t="s">
        <v>51</v>
      </c>
    </row>
    <row r="23" spans="1:3" ht="12.75">
      <c r="A23" t="s">
        <v>28</v>
      </c>
      <c r="B23" s="25">
        <f>'Code 100'!M27*$B$3</f>
        <v>0</v>
      </c>
      <c r="C23" s="25">
        <f>'Code 100'!N27*$B$3</f>
        <v>0</v>
      </c>
    </row>
    <row r="24" spans="1:6" ht="12.75">
      <c r="A24" t="s">
        <v>26</v>
      </c>
      <c r="B24" s="25">
        <f>'Code 100'!M28*$B$3</f>
        <v>0</v>
      </c>
      <c r="C24" s="25">
        <f>'Code 100'!N28*$B$3</f>
        <v>0</v>
      </c>
      <c r="F24" s="2" t="s">
        <v>133</v>
      </c>
    </row>
    <row r="25" spans="1:10" ht="12.75">
      <c r="A25" t="s">
        <v>81</v>
      </c>
      <c r="B25" s="25">
        <f>'Code 100'!M29*$B$3</f>
        <v>0</v>
      </c>
      <c r="C25" s="25">
        <f>'Code 100'!N29*$B$3</f>
        <v>0</v>
      </c>
      <c r="D25" s="36" t="s">
        <v>14</v>
      </c>
      <c r="F25" t="s">
        <v>134</v>
      </c>
      <c r="G25" s="61">
        <f>'Code 125'!L29</f>
        <v>0</v>
      </c>
      <c r="H25" s="38">
        <f>ROUNDUP('Code 125'!L29/'Code 125'!B29,0)</f>
        <v>0</v>
      </c>
      <c r="I25" t="s">
        <v>51</v>
      </c>
      <c r="J25" t="s">
        <v>137</v>
      </c>
    </row>
    <row r="26" spans="1:10" ht="12.75">
      <c r="A26" t="s">
        <v>82</v>
      </c>
      <c r="B26" s="25">
        <f>'Code 100'!M30*$B$3</f>
        <v>0</v>
      </c>
      <c r="C26" s="25">
        <f>'Code 100'!N30*$B$3</f>
        <v>0</v>
      </c>
      <c r="D26" s="36" t="s">
        <v>14</v>
      </c>
      <c r="F26" t="s">
        <v>135</v>
      </c>
      <c r="G26" s="61">
        <f>'Code 125'!L30</f>
        <v>0</v>
      </c>
      <c r="H26" s="38">
        <f>ROUNDUP('Code 125'!L30/'Code 125'!B30,0)</f>
        <v>0</v>
      </c>
      <c r="I26" t="s">
        <v>51</v>
      </c>
      <c r="J26" t="s">
        <v>136</v>
      </c>
    </row>
    <row r="27" spans="1:10" ht="12.75">
      <c r="A27" t="s">
        <v>83</v>
      </c>
      <c r="B27" s="25">
        <f>'Code 100'!M31*$B$3</f>
        <v>0</v>
      </c>
      <c r="C27" s="25">
        <f>'Code 100'!N31*$B$3</f>
        <v>0</v>
      </c>
      <c r="D27" s="36" t="s">
        <v>14</v>
      </c>
      <c r="F27" s="58" t="s">
        <v>128</v>
      </c>
      <c r="G27" s="61">
        <f>'Code 125'!L31</f>
        <v>0</v>
      </c>
      <c r="H27" s="38">
        <f>ROUNDUP('Code 125'!L31/'Code 125'!B31,0)</f>
        <v>0</v>
      </c>
      <c r="I27" t="s">
        <v>51</v>
      </c>
      <c r="J27" t="s">
        <v>138</v>
      </c>
    </row>
    <row r="28" spans="1:10" ht="12.75">
      <c r="A28" t="s">
        <v>84</v>
      </c>
      <c r="B28" s="25">
        <f>'Code 100'!M32*$B$3</f>
        <v>0</v>
      </c>
      <c r="C28" s="25">
        <f>'Code 100'!N32*$B$3</f>
        <v>0</v>
      </c>
      <c r="D28" s="36" t="s">
        <v>14</v>
      </c>
      <c r="F28" s="58" t="s">
        <v>129</v>
      </c>
      <c r="G28" s="61">
        <f>'Code 125'!L32</f>
        <v>0</v>
      </c>
      <c r="H28" s="38">
        <f>ROUNDUP('Code 125'!L32/'Code 125'!B32,0)</f>
        <v>0</v>
      </c>
      <c r="I28" t="s">
        <v>51</v>
      </c>
      <c r="J28" t="s">
        <v>139</v>
      </c>
    </row>
    <row r="33" spans="1:3" ht="12.75">
      <c r="A33" s="64" t="s">
        <v>96</v>
      </c>
      <c r="B33" s="64"/>
      <c r="C33" s="64"/>
    </row>
    <row r="34" spans="1:3" ht="12.75">
      <c r="A34" s="64"/>
      <c r="B34" s="64"/>
      <c r="C34" s="64"/>
    </row>
    <row r="35" spans="1:3" ht="12.75">
      <c r="A35" s="65"/>
      <c r="B35" s="65"/>
      <c r="C35" s="65"/>
    </row>
    <row r="36" spans="1:3" ht="12.75">
      <c r="A36" s="65"/>
      <c r="B36" s="65"/>
      <c r="C36" s="65"/>
    </row>
    <row r="37" spans="1:3" ht="12.75">
      <c r="A37" s="65"/>
      <c r="B37" s="65"/>
      <c r="C37" s="65"/>
    </row>
  </sheetData>
  <mergeCells count="1">
    <mergeCell ref="A33:C37"/>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S47"/>
  <sheetViews>
    <sheetView workbookViewId="0" topLeftCell="A3">
      <selection activeCell="B35" sqref="B35"/>
    </sheetView>
  </sheetViews>
  <sheetFormatPr defaultColWidth="9.140625" defaultRowHeight="12.75"/>
  <cols>
    <col min="1" max="1" width="67.7109375" style="0" bestFit="1" customWidth="1"/>
    <col min="4" max="4" width="1.7109375" style="8" customWidth="1"/>
    <col min="5" max="5" width="9.421875" style="0" bestFit="1" customWidth="1"/>
    <col min="6" max="6" width="1.57421875" style="8" customWidth="1"/>
    <col min="7" max="7" width="10.7109375" style="0" customWidth="1"/>
    <col min="8" max="8" width="11.57421875" style="0" customWidth="1"/>
    <col min="9" max="9" width="12.57421875" style="0" customWidth="1"/>
    <col min="10" max="10" width="10.57421875" style="0" customWidth="1"/>
    <col min="11" max="11" width="1.57421875" style="8" customWidth="1"/>
    <col min="12" max="12" width="10.00390625" style="16" customWidth="1"/>
    <col min="13" max="13" width="11.57421875" style="0" customWidth="1"/>
    <col min="14" max="14" width="10.140625" style="0" customWidth="1"/>
    <col min="15" max="15" width="2.140625" style="0" customWidth="1"/>
    <col min="16" max="16" width="23.421875" style="0" bestFit="1" customWidth="1"/>
  </cols>
  <sheetData>
    <row r="1" ht="13.5" thickBot="1">
      <c r="S1" s="48"/>
    </row>
    <row r="2" spans="1:19" ht="12.75">
      <c r="A2" s="1" t="s">
        <v>62</v>
      </c>
      <c r="L2" s="43" t="s">
        <v>57</v>
      </c>
      <c r="M2" s="44"/>
      <c r="N2" s="44"/>
      <c r="O2" s="44"/>
      <c r="P2" s="44"/>
      <c r="Q2" s="44"/>
      <c r="R2" s="44"/>
      <c r="S2" s="45"/>
    </row>
    <row r="3" spans="1:19" ht="12.75">
      <c r="A3" s="1" t="s">
        <v>63</v>
      </c>
      <c r="L3" s="46"/>
      <c r="M3" s="47">
        <v>46</v>
      </c>
      <c r="N3" s="48" t="s">
        <v>58</v>
      </c>
      <c r="O3" s="48"/>
      <c r="P3" s="48"/>
      <c r="Q3" s="48"/>
      <c r="R3" s="48"/>
      <c r="S3" s="49"/>
    </row>
    <row r="4" spans="12:19" ht="12.75">
      <c r="L4" s="46"/>
      <c r="M4" s="47">
        <v>50</v>
      </c>
      <c r="N4" s="48" t="s">
        <v>59</v>
      </c>
      <c r="O4" s="48"/>
      <c r="P4" s="48"/>
      <c r="Q4" s="48"/>
      <c r="R4" s="48"/>
      <c r="S4" s="49"/>
    </row>
    <row r="5" spans="12:19" ht="12.75">
      <c r="L5" s="46"/>
      <c r="M5" s="47">
        <v>2</v>
      </c>
      <c r="N5" s="48" t="s">
        <v>60</v>
      </c>
      <c r="O5" s="48"/>
      <c r="P5" s="48"/>
      <c r="Q5" s="48"/>
      <c r="R5" s="48"/>
      <c r="S5" s="49"/>
    </row>
    <row r="6" spans="12:19" ht="13.5" thickBot="1">
      <c r="L6" s="50"/>
      <c r="M6" s="51">
        <v>1</v>
      </c>
      <c r="N6" s="52" t="s">
        <v>61</v>
      </c>
      <c r="O6" s="52"/>
      <c r="P6" s="52"/>
      <c r="Q6" s="52"/>
      <c r="R6" s="52"/>
      <c r="S6" s="53"/>
    </row>
    <row r="7" spans="7:10" ht="12.75">
      <c r="G7" s="28" t="s">
        <v>39</v>
      </c>
      <c r="H7" s="28" t="s">
        <v>40</v>
      </c>
      <c r="I7" s="28" t="s">
        <v>41</v>
      </c>
      <c r="J7" s="28" t="s">
        <v>42</v>
      </c>
    </row>
    <row r="8" spans="7:10" ht="12.75">
      <c r="G8" s="54" t="s">
        <v>99</v>
      </c>
      <c r="H8" s="54" t="s">
        <v>99</v>
      </c>
      <c r="I8" s="54" t="s">
        <v>99</v>
      </c>
      <c r="J8" s="54" t="s">
        <v>99</v>
      </c>
    </row>
    <row r="9" spans="2:16" s="1" customFormat="1" ht="25.5">
      <c r="B9" s="3" t="s">
        <v>15</v>
      </c>
      <c r="C9" s="3" t="s">
        <v>23</v>
      </c>
      <c r="D9" s="9"/>
      <c r="E9" s="1" t="s">
        <v>2</v>
      </c>
      <c r="F9" s="13"/>
      <c r="G9" s="3" t="s">
        <v>43</v>
      </c>
      <c r="H9" s="3" t="s">
        <v>43</v>
      </c>
      <c r="I9" s="3" t="s">
        <v>43</v>
      </c>
      <c r="J9" s="3" t="s">
        <v>43</v>
      </c>
      <c r="K9" s="9"/>
      <c r="L9" s="17" t="s">
        <v>16</v>
      </c>
      <c r="M9" s="3" t="s">
        <v>3</v>
      </c>
      <c r="N9" s="3" t="s">
        <v>4</v>
      </c>
      <c r="O9" s="3"/>
      <c r="P9" s="1" t="s">
        <v>5</v>
      </c>
    </row>
    <row r="10" spans="1:4" ht="12.75">
      <c r="A10" s="2" t="s">
        <v>1</v>
      </c>
      <c r="B10" s="2"/>
      <c r="C10" s="2"/>
      <c r="D10" s="10"/>
    </row>
    <row r="11" spans="1:16" ht="12.75">
      <c r="A11" t="s">
        <v>152</v>
      </c>
      <c r="B11" s="31">
        <v>24</v>
      </c>
      <c r="C11" s="31">
        <v>40</v>
      </c>
      <c r="D11" s="11"/>
      <c r="E11" s="29">
        <v>179.95</v>
      </c>
      <c r="F11" s="14"/>
      <c r="G11" s="32"/>
      <c r="H11" s="33"/>
      <c r="I11" s="33"/>
      <c r="J11" s="33"/>
      <c r="K11" s="15"/>
      <c r="L11" s="42">
        <f>M6</f>
        <v>1</v>
      </c>
      <c r="M11" s="24">
        <f>(E11/(B11*C11/12))*L11</f>
        <v>2.2493749999999997</v>
      </c>
      <c r="N11" s="24">
        <f>(MIN(G11,H11,I11,J11)/(B11*C11/12))*L11</f>
        <v>0</v>
      </c>
      <c r="O11" s="4"/>
      <c r="P11" t="s">
        <v>161</v>
      </c>
    </row>
    <row r="12" spans="1:16" ht="12.75">
      <c r="A12" t="s">
        <v>153</v>
      </c>
      <c r="B12" s="31">
        <v>6</v>
      </c>
      <c r="C12" s="31">
        <v>40</v>
      </c>
      <c r="D12" s="11"/>
      <c r="E12" s="29">
        <v>47.95</v>
      </c>
      <c r="F12" s="14"/>
      <c r="G12" s="32"/>
      <c r="H12" s="33"/>
      <c r="I12" s="33"/>
      <c r="J12" s="33"/>
      <c r="K12" s="15"/>
      <c r="L12" s="42">
        <f>M6</f>
        <v>1</v>
      </c>
      <c r="M12" s="24">
        <f>(E12/(B12*C12/12))*L12</f>
        <v>2.3975</v>
      </c>
      <c r="N12" s="24">
        <f>(MIN(G12,H12,I12,J12)/(B12*C12/12))*L12</f>
        <v>0</v>
      </c>
      <c r="O12" s="4"/>
      <c r="P12" t="s">
        <v>162</v>
      </c>
    </row>
    <row r="13" spans="2:15" ht="12.75">
      <c r="B13" s="6"/>
      <c r="C13" s="6"/>
      <c r="D13" s="11"/>
      <c r="E13" s="4"/>
      <c r="F13" s="14"/>
      <c r="G13" s="4"/>
      <c r="H13" s="4"/>
      <c r="I13" s="4"/>
      <c r="J13" s="4"/>
      <c r="K13" s="14"/>
      <c r="L13" s="19"/>
      <c r="M13" s="4"/>
      <c r="N13" s="4"/>
      <c r="O13" s="4"/>
    </row>
    <row r="14" spans="1:15" ht="12.75">
      <c r="A14" s="2" t="s">
        <v>6</v>
      </c>
      <c r="B14" s="7"/>
      <c r="C14" s="7"/>
      <c r="D14" s="12"/>
      <c r="E14" s="4"/>
      <c r="F14" s="14"/>
      <c r="G14" s="4"/>
      <c r="H14" s="4"/>
      <c r="I14" s="4"/>
      <c r="J14" s="4"/>
      <c r="K14" s="14"/>
      <c r="L14" s="19"/>
      <c r="M14" s="4"/>
      <c r="N14" s="4"/>
      <c r="O14" s="4"/>
    </row>
    <row r="15" spans="1:16" ht="12.75">
      <c r="A15" t="s">
        <v>150</v>
      </c>
      <c r="B15" s="31">
        <v>33</v>
      </c>
      <c r="C15" s="31">
        <v>36</v>
      </c>
      <c r="D15" s="11"/>
      <c r="E15" s="29">
        <v>68.95</v>
      </c>
      <c r="F15" s="14"/>
      <c r="G15" s="32"/>
      <c r="H15" s="32"/>
      <c r="I15" s="32"/>
      <c r="J15" s="32"/>
      <c r="K15" s="14"/>
      <c r="L15" s="41">
        <f>M5</f>
        <v>2</v>
      </c>
      <c r="M15" s="24">
        <f>(E15/(B15*C15/12))*L15</f>
        <v>1.392929292929293</v>
      </c>
      <c r="N15" s="24">
        <f>(MIN(G15,H15,I15,J15)/(B15*C15/12))*L15</f>
        <v>0</v>
      </c>
      <c r="O15" s="4"/>
      <c r="P15" t="s">
        <v>90</v>
      </c>
    </row>
    <row r="16" spans="1:16" ht="12.75">
      <c r="A16" t="s">
        <v>151</v>
      </c>
      <c r="B16" s="31">
        <v>33</v>
      </c>
      <c r="C16" s="31">
        <v>36</v>
      </c>
      <c r="D16" s="11"/>
      <c r="E16" s="29">
        <v>74.5</v>
      </c>
      <c r="F16" s="14"/>
      <c r="G16" s="32"/>
      <c r="H16" s="32"/>
      <c r="I16" s="32"/>
      <c r="J16" s="32"/>
      <c r="K16" s="14"/>
      <c r="L16" s="41">
        <f>M5</f>
        <v>2</v>
      </c>
      <c r="M16" s="24">
        <f>(E16/(B16*C16/12))*L16</f>
        <v>1.505050505050505</v>
      </c>
      <c r="N16" s="24">
        <f>(MIN(G16,H16,I16,J16)/(B16*C16/12))*L16</f>
        <v>0</v>
      </c>
      <c r="O16" s="4"/>
      <c r="P16" t="s">
        <v>89</v>
      </c>
    </row>
    <row r="17" spans="1:15" ht="12.75">
      <c r="A17" t="s">
        <v>7</v>
      </c>
      <c r="B17" s="31">
        <v>850</v>
      </c>
      <c r="C17" s="6"/>
      <c r="D17" s="11"/>
      <c r="E17" s="29">
        <v>13.95</v>
      </c>
      <c r="F17" s="14"/>
      <c r="G17" s="32"/>
      <c r="H17" s="32"/>
      <c r="I17" s="32"/>
      <c r="J17" s="32"/>
      <c r="K17" s="14"/>
      <c r="L17" s="41">
        <f>M3</f>
        <v>46</v>
      </c>
      <c r="M17" s="24">
        <f aca="true" t="shared" si="0" ref="M17:M22">E17/B17*L17</f>
        <v>0.7549411764705881</v>
      </c>
      <c r="N17" s="24">
        <f aca="true" t="shared" si="1" ref="N17:N22">MIN(G17,H17,I17,J17)/B17*L17</f>
        <v>0</v>
      </c>
      <c r="O17" s="4"/>
    </row>
    <row r="18" spans="1:15" ht="12.75">
      <c r="A18" t="s">
        <v>8</v>
      </c>
      <c r="B18" s="31">
        <v>850</v>
      </c>
      <c r="C18" s="6"/>
      <c r="D18" s="11"/>
      <c r="E18" s="29">
        <v>13.95</v>
      </c>
      <c r="F18" s="14"/>
      <c r="G18" s="32"/>
      <c r="H18" s="32"/>
      <c r="I18" s="32"/>
      <c r="J18" s="32"/>
      <c r="K18" s="14"/>
      <c r="L18" s="41">
        <f>M3</f>
        <v>46</v>
      </c>
      <c r="M18" s="24">
        <f t="shared" si="0"/>
        <v>0.7549411764705881</v>
      </c>
      <c r="N18" s="24">
        <f t="shared" si="1"/>
        <v>0</v>
      </c>
      <c r="O18" s="4"/>
    </row>
    <row r="19" spans="1:16" ht="12.75">
      <c r="A19" t="s">
        <v>9</v>
      </c>
      <c r="B19" s="31">
        <v>1000</v>
      </c>
      <c r="C19" s="6"/>
      <c r="D19" s="11"/>
      <c r="E19" s="29">
        <v>8.15</v>
      </c>
      <c r="F19" s="14"/>
      <c r="G19" s="32"/>
      <c r="H19" s="32"/>
      <c r="I19" s="32"/>
      <c r="J19" s="32"/>
      <c r="K19" s="14"/>
      <c r="L19" s="41">
        <f>M4</f>
        <v>50</v>
      </c>
      <c r="M19" s="24">
        <f t="shared" si="0"/>
        <v>0.40750000000000003</v>
      </c>
      <c r="N19" s="24">
        <f t="shared" si="1"/>
        <v>0</v>
      </c>
      <c r="O19" s="4"/>
      <c r="P19" t="s">
        <v>74</v>
      </c>
    </row>
    <row r="20" spans="1:16" ht="12.75">
      <c r="A20" t="s">
        <v>12</v>
      </c>
      <c r="B20" s="31">
        <v>15000</v>
      </c>
      <c r="C20" s="6"/>
      <c r="D20" s="11"/>
      <c r="E20" s="29">
        <v>95.7</v>
      </c>
      <c r="F20" s="14"/>
      <c r="G20" s="32"/>
      <c r="H20" s="32"/>
      <c r="I20" s="32"/>
      <c r="J20" s="32"/>
      <c r="K20" s="14"/>
      <c r="L20" s="41">
        <f>M4</f>
        <v>50</v>
      </c>
      <c r="M20" s="24">
        <f t="shared" si="0"/>
        <v>0.319</v>
      </c>
      <c r="N20" s="24">
        <f t="shared" si="1"/>
        <v>0</v>
      </c>
      <c r="O20" s="4"/>
      <c r="P20" t="s">
        <v>75</v>
      </c>
    </row>
    <row r="21" spans="1:16" ht="12.75">
      <c r="A21" t="s">
        <v>10</v>
      </c>
      <c r="B21" s="31">
        <v>800</v>
      </c>
      <c r="C21" s="6"/>
      <c r="D21" s="11"/>
      <c r="E21" s="29">
        <v>9.35</v>
      </c>
      <c r="F21" s="14"/>
      <c r="G21" s="32"/>
      <c r="H21" s="32"/>
      <c r="I21" s="32"/>
      <c r="J21" s="32"/>
      <c r="K21" s="14"/>
      <c r="L21" s="41">
        <f>M4</f>
        <v>50</v>
      </c>
      <c r="M21" s="24">
        <f t="shared" si="0"/>
        <v>0.584375</v>
      </c>
      <c r="N21" s="24">
        <f t="shared" si="1"/>
        <v>0</v>
      </c>
      <c r="O21" s="4"/>
      <c r="P21" t="s">
        <v>76</v>
      </c>
    </row>
    <row r="22" spans="1:16" ht="12.75">
      <c r="A22" t="s">
        <v>11</v>
      </c>
      <c r="B22" s="31">
        <v>12000</v>
      </c>
      <c r="C22" s="6"/>
      <c r="D22" s="11"/>
      <c r="E22" s="29">
        <v>117.95</v>
      </c>
      <c r="F22" s="14"/>
      <c r="G22" s="32"/>
      <c r="H22" s="32"/>
      <c r="I22" s="32"/>
      <c r="J22" s="32"/>
      <c r="K22" s="14"/>
      <c r="L22" s="41">
        <f>M4</f>
        <v>50</v>
      </c>
      <c r="M22" s="24">
        <f t="shared" si="0"/>
        <v>0.49145833333333333</v>
      </c>
      <c r="N22" s="24">
        <f t="shared" si="1"/>
        <v>0</v>
      </c>
      <c r="O22" s="4"/>
      <c r="P22" t="s">
        <v>77</v>
      </c>
    </row>
    <row r="23" spans="1:16" ht="12.75">
      <c r="A23" t="s">
        <v>154</v>
      </c>
      <c r="B23" s="31">
        <v>33</v>
      </c>
      <c r="C23" s="31">
        <v>36</v>
      </c>
      <c r="D23" s="11"/>
      <c r="E23" s="29">
        <v>43</v>
      </c>
      <c r="F23" s="14"/>
      <c r="G23" s="32"/>
      <c r="H23" s="32"/>
      <c r="I23" s="32"/>
      <c r="J23" s="32"/>
      <c r="K23" s="14"/>
      <c r="L23" s="41">
        <f>M5</f>
        <v>2</v>
      </c>
      <c r="M23" s="24">
        <f>(E23/(B23*C23/12))*L23</f>
        <v>0.8686868686868687</v>
      </c>
      <c r="N23" s="24">
        <f>(MIN(G23,H23,I23,J23)/(B23*C23/12))*L23</f>
        <v>0</v>
      </c>
      <c r="O23" s="4"/>
      <c r="P23" t="s">
        <v>142</v>
      </c>
    </row>
    <row r="24" spans="2:15" ht="12.75">
      <c r="B24" s="6"/>
      <c r="C24" s="6"/>
      <c r="D24" s="11"/>
      <c r="E24" s="4"/>
      <c r="F24" s="14"/>
      <c r="G24" s="4"/>
      <c r="H24" s="4"/>
      <c r="I24" s="4"/>
      <c r="J24" s="4"/>
      <c r="K24" s="14"/>
      <c r="L24" s="19"/>
      <c r="M24" s="4"/>
      <c r="N24" s="4"/>
      <c r="O24" s="4"/>
    </row>
    <row r="25" spans="1:15" ht="12.75">
      <c r="A25" s="2" t="s">
        <v>122</v>
      </c>
      <c r="B25" s="6"/>
      <c r="C25" s="6"/>
      <c r="D25" s="11"/>
      <c r="E25" s="4"/>
      <c r="F25" s="14"/>
      <c r="G25" s="4"/>
      <c r="H25" s="4"/>
      <c r="I25" s="4"/>
      <c r="J25" s="4"/>
      <c r="K25" s="14"/>
      <c r="L25" s="19"/>
      <c r="M25" s="4"/>
      <c r="N25" s="4"/>
      <c r="O25" s="4"/>
    </row>
    <row r="26" spans="1:15" ht="12.75">
      <c r="A26" s="1" t="s">
        <v>124</v>
      </c>
      <c r="B26" s="6"/>
      <c r="C26" s="6"/>
      <c r="D26" s="11"/>
      <c r="E26" s="4"/>
      <c r="F26" s="14"/>
      <c r="G26" s="4"/>
      <c r="H26" s="4"/>
      <c r="I26" s="4"/>
      <c r="J26" s="4"/>
      <c r="K26" s="14"/>
      <c r="L26" s="66" t="s">
        <v>132</v>
      </c>
      <c r="M26" s="69" t="s">
        <v>145</v>
      </c>
      <c r="N26" s="69" t="s">
        <v>144</v>
      </c>
      <c r="O26" s="4"/>
    </row>
    <row r="27" spans="1:15" ht="12.75">
      <c r="A27" s="1" t="s">
        <v>148</v>
      </c>
      <c r="B27" s="6"/>
      <c r="C27" s="6"/>
      <c r="D27" s="11"/>
      <c r="E27" s="4"/>
      <c r="F27" s="14"/>
      <c r="G27" s="4"/>
      <c r="H27" s="4"/>
      <c r="I27" s="4"/>
      <c r="J27" s="4"/>
      <c r="K27" s="14"/>
      <c r="L27" s="67"/>
      <c r="M27" s="69"/>
      <c r="N27" s="69"/>
      <c r="O27" s="4"/>
    </row>
    <row r="28" spans="1:15" ht="12.75">
      <c r="A28" s="1" t="s">
        <v>127</v>
      </c>
      <c r="B28" s="6"/>
      <c r="C28" s="6"/>
      <c r="D28" s="11"/>
      <c r="E28" s="4"/>
      <c r="F28" s="14"/>
      <c r="G28" s="4"/>
      <c r="H28" s="4"/>
      <c r="I28" s="4"/>
      <c r="J28" s="4"/>
      <c r="K28" s="14"/>
      <c r="L28" s="68"/>
      <c r="M28" s="69"/>
      <c r="N28" s="69"/>
      <c r="O28" s="4"/>
    </row>
    <row r="29" spans="1:16" ht="12.75">
      <c r="A29" s="58" t="s">
        <v>163</v>
      </c>
      <c r="B29" s="31">
        <v>36</v>
      </c>
      <c r="C29" s="6"/>
      <c r="D29" s="11"/>
      <c r="E29" s="29">
        <v>2.95</v>
      </c>
      <c r="F29" s="14"/>
      <c r="G29" s="32"/>
      <c r="H29" s="32"/>
      <c r="I29" s="32"/>
      <c r="J29" s="32"/>
      <c r="K29" s="14"/>
      <c r="L29" s="60"/>
      <c r="M29" s="63">
        <f>ROUNDUP(L29/B29,0)*E29</f>
        <v>0</v>
      </c>
      <c r="N29" s="24">
        <f>ROUNDUP(L29/B29,0)*MIN(G29,H29,I29,J29)</f>
        <v>0</v>
      </c>
      <c r="O29" s="4"/>
      <c r="P29" t="s">
        <v>125</v>
      </c>
    </row>
    <row r="30" spans="1:16" ht="12.75">
      <c r="A30" s="58" t="s">
        <v>123</v>
      </c>
      <c r="B30" s="31">
        <v>24</v>
      </c>
      <c r="C30" s="6"/>
      <c r="D30" s="11"/>
      <c r="E30" s="29">
        <v>2.95</v>
      </c>
      <c r="F30" s="14"/>
      <c r="G30" s="32"/>
      <c r="H30" s="32"/>
      <c r="I30" s="32"/>
      <c r="J30" s="32"/>
      <c r="K30" s="14"/>
      <c r="L30" s="60"/>
      <c r="M30" s="63">
        <f>ROUNDUP(L30/B30,0)*E30</f>
        <v>0</v>
      </c>
      <c r="N30" s="24">
        <f>ROUNDUP(L30/B30,0)*MIN(G30,H30,I30,J30)</f>
        <v>0</v>
      </c>
      <c r="O30" s="4"/>
      <c r="P30" t="s">
        <v>126</v>
      </c>
    </row>
    <row r="31" spans="1:16" ht="12.75">
      <c r="A31" s="58" t="s">
        <v>128</v>
      </c>
      <c r="B31" s="31">
        <v>12</v>
      </c>
      <c r="C31" s="6"/>
      <c r="D31" s="11"/>
      <c r="E31" s="29">
        <v>8</v>
      </c>
      <c r="F31" s="14"/>
      <c r="G31" s="32"/>
      <c r="H31" s="32"/>
      <c r="I31" s="32"/>
      <c r="J31" s="32"/>
      <c r="K31" s="14"/>
      <c r="L31" s="60"/>
      <c r="M31" s="63">
        <f>ROUNDUP(L31/B31,0)*E31</f>
        <v>0</v>
      </c>
      <c r="N31" s="24">
        <f>ROUNDUP(L31/B31,0)*MIN(G31,H31,I31,J31)</f>
        <v>0</v>
      </c>
      <c r="O31" s="4"/>
      <c r="P31" t="s">
        <v>130</v>
      </c>
    </row>
    <row r="32" spans="1:16" ht="12.75">
      <c r="A32" s="58" t="s">
        <v>129</v>
      </c>
      <c r="B32" s="31">
        <v>12</v>
      </c>
      <c r="C32" s="6"/>
      <c r="D32" s="11"/>
      <c r="E32" s="29">
        <v>2.75</v>
      </c>
      <c r="F32" s="14"/>
      <c r="G32" s="32"/>
      <c r="H32" s="32"/>
      <c r="I32" s="32"/>
      <c r="J32" s="32"/>
      <c r="K32" s="14"/>
      <c r="L32" s="60"/>
      <c r="M32" s="63">
        <f>ROUNDUP(L32/B32,0)*E32</f>
        <v>0</v>
      </c>
      <c r="N32" s="24">
        <f>ROUNDUP(L32/B32,0)*MIN(G32,H32,I32,J32)</f>
        <v>0</v>
      </c>
      <c r="O32" s="4"/>
      <c r="P32" t="s">
        <v>131</v>
      </c>
    </row>
    <row r="33" spans="2:15" ht="12.75">
      <c r="B33" s="6"/>
      <c r="C33" s="6"/>
      <c r="D33" s="11"/>
      <c r="E33" s="4"/>
      <c r="F33" s="14"/>
      <c r="G33" s="4"/>
      <c r="H33" s="4"/>
      <c r="I33" s="4"/>
      <c r="J33" s="4"/>
      <c r="K33" s="14"/>
      <c r="L33" s="59" t="s">
        <v>143</v>
      </c>
      <c r="M33" s="24">
        <f>SUM(M29:M32)</f>
        <v>0</v>
      </c>
      <c r="N33" s="24">
        <f>SUM(N29:N32)</f>
        <v>0</v>
      </c>
      <c r="O33" s="4"/>
    </row>
    <row r="34" spans="1:15" ht="12.75">
      <c r="A34" s="2" t="s">
        <v>13</v>
      </c>
      <c r="B34" s="7"/>
      <c r="C34" s="7"/>
      <c r="D34" s="12"/>
      <c r="E34" s="4"/>
      <c r="F34" s="14"/>
      <c r="G34" s="4"/>
      <c r="H34" s="4"/>
      <c r="I34" s="4"/>
      <c r="J34" s="4"/>
      <c r="K34" s="14"/>
      <c r="L34" s="19"/>
      <c r="M34" s="4"/>
      <c r="N34" s="4"/>
      <c r="O34" s="4"/>
    </row>
    <row r="35" spans="1:15" ht="12.75">
      <c r="A35" t="s">
        <v>164</v>
      </c>
      <c r="B35" s="6"/>
      <c r="C35" s="6"/>
      <c r="D35" s="11"/>
      <c r="E35" s="4"/>
      <c r="F35" s="14"/>
      <c r="G35" s="4"/>
      <c r="H35" s="4"/>
      <c r="I35" s="4"/>
      <c r="J35" s="4"/>
      <c r="K35" s="14"/>
      <c r="L35" s="19"/>
      <c r="M35" s="24">
        <f>M11</f>
        <v>2.2493749999999997</v>
      </c>
      <c r="N35" s="24">
        <f>N11</f>
        <v>0</v>
      </c>
      <c r="O35" s="4"/>
    </row>
    <row r="36" spans="1:16" ht="12.75">
      <c r="A36" t="s">
        <v>155</v>
      </c>
      <c r="B36" s="6"/>
      <c r="C36" s="6"/>
      <c r="D36" s="11"/>
      <c r="E36" s="4"/>
      <c r="F36" s="14"/>
      <c r="G36" s="4"/>
      <c r="H36" s="4"/>
      <c r="I36" s="4"/>
      <c r="J36" s="4"/>
      <c r="K36" s="14"/>
      <c r="L36" s="19"/>
      <c r="M36" s="24">
        <f>M15+MIN(M17,M18)+M20</f>
        <v>2.466870469399881</v>
      </c>
      <c r="N36" s="24">
        <f>N15+MIN(N17,N18)+N20</f>
        <v>0</v>
      </c>
      <c r="O36" s="4"/>
      <c r="P36" s="5" t="s">
        <v>14</v>
      </c>
    </row>
    <row r="37" spans="1:16" ht="12.75">
      <c r="A37" t="s">
        <v>156</v>
      </c>
      <c r="B37" s="6"/>
      <c r="C37" s="6"/>
      <c r="D37" s="11"/>
      <c r="E37" s="4"/>
      <c r="F37" s="14"/>
      <c r="G37" s="4"/>
      <c r="H37" s="4"/>
      <c r="I37" s="4"/>
      <c r="J37" s="4"/>
      <c r="K37" s="14"/>
      <c r="L37" s="19"/>
      <c r="M37" s="24">
        <f>M15+MIN(M17,M18)+M22</f>
        <v>2.639328802733214</v>
      </c>
      <c r="N37" s="24">
        <f>N15+MIN(N17,N18)+N22</f>
        <v>0</v>
      </c>
      <c r="O37" s="4"/>
      <c r="P37" s="5" t="s">
        <v>14</v>
      </c>
    </row>
    <row r="38" spans="1:16" ht="12.75">
      <c r="A38" t="s">
        <v>157</v>
      </c>
      <c r="E38" s="4"/>
      <c r="F38" s="14"/>
      <c r="G38" s="4"/>
      <c r="H38" s="4"/>
      <c r="I38" s="4"/>
      <c r="J38" s="4"/>
      <c r="K38" s="14"/>
      <c r="L38" s="18"/>
      <c r="M38" s="24">
        <f>M16+MIN(M17,M18)+M20</f>
        <v>2.578991681521093</v>
      </c>
      <c r="N38" s="24">
        <f>N16+MIN(N17,N18)+N20</f>
        <v>0</v>
      </c>
      <c r="O38" s="4"/>
      <c r="P38" s="5" t="s">
        <v>14</v>
      </c>
    </row>
    <row r="39" spans="1:16" ht="12.75">
      <c r="A39" t="s">
        <v>158</v>
      </c>
      <c r="E39" s="4"/>
      <c r="F39" s="14"/>
      <c r="G39" s="4"/>
      <c r="H39" s="4"/>
      <c r="I39" s="4"/>
      <c r="J39" s="4"/>
      <c r="K39" s="14"/>
      <c r="L39" s="18"/>
      <c r="M39" s="24">
        <f>M16+MIN(M17,M18)+M22</f>
        <v>2.7514500148544263</v>
      </c>
      <c r="N39" s="24">
        <f>N16+MIN(N17,N18)+N22</f>
        <v>0</v>
      </c>
      <c r="O39" s="4"/>
      <c r="P39" s="5" t="s">
        <v>14</v>
      </c>
    </row>
    <row r="40" spans="1:16" ht="12.75">
      <c r="A40" t="s">
        <v>159</v>
      </c>
      <c r="E40" s="4"/>
      <c r="F40" s="14"/>
      <c r="G40" s="4"/>
      <c r="H40" s="4"/>
      <c r="I40" s="4"/>
      <c r="J40" s="4"/>
      <c r="K40" s="14"/>
      <c r="L40" s="18"/>
      <c r="M40" s="24">
        <f>M23+MIN(M17,M18)+M20</f>
        <v>1.942628045157457</v>
      </c>
      <c r="N40" s="24">
        <f>N23+MIN(N17,N18)+N20</f>
        <v>0</v>
      </c>
      <c r="O40" s="4"/>
      <c r="P40" s="5" t="s">
        <v>14</v>
      </c>
    </row>
    <row r="41" spans="1:16" ht="12.75">
      <c r="A41" t="s">
        <v>160</v>
      </c>
      <c r="E41" s="4"/>
      <c r="F41" s="14"/>
      <c r="G41" s="4"/>
      <c r="H41" s="4"/>
      <c r="I41" s="4"/>
      <c r="J41" s="4"/>
      <c r="K41" s="14"/>
      <c r="L41" s="18"/>
      <c r="M41" s="24">
        <f>M23+MIN(M17,M18)+M22</f>
        <v>2.1150863784907905</v>
      </c>
      <c r="N41" s="24">
        <f>N23+MIN(N17,N18)+N20</f>
        <v>0</v>
      </c>
      <c r="O41" s="4"/>
      <c r="P41" s="5" t="s">
        <v>14</v>
      </c>
    </row>
    <row r="42" spans="5:15" ht="12.75">
      <c r="E42" s="4"/>
      <c r="F42" s="14"/>
      <c r="G42" s="4"/>
      <c r="H42" s="4"/>
      <c r="I42" s="4"/>
      <c r="J42" s="4"/>
      <c r="K42" s="14"/>
      <c r="L42" s="18"/>
      <c r="M42" s="4"/>
      <c r="N42" s="4"/>
      <c r="O42" s="4"/>
    </row>
    <row r="43" spans="1:15" ht="12.75">
      <c r="A43" s="2" t="s">
        <v>121</v>
      </c>
      <c r="E43" s="4"/>
      <c r="F43" s="14"/>
      <c r="G43" s="4"/>
      <c r="H43" s="4"/>
      <c r="I43" s="4"/>
      <c r="J43" s="4"/>
      <c r="K43" s="14"/>
      <c r="L43" s="18"/>
      <c r="M43" s="4"/>
      <c r="N43" s="4"/>
      <c r="O43" s="4"/>
    </row>
    <row r="44" spans="1:15" ht="12.75">
      <c r="A44" s="57" t="s">
        <v>149</v>
      </c>
      <c r="E44" s="4"/>
      <c r="F44" s="14"/>
      <c r="G44" s="4"/>
      <c r="H44" s="4"/>
      <c r="I44" s="4"/>
      <c r="J44" s="4"/>
      <c r="K44" s="14"/>
      <c r="L44" s="18"/>
      <c r="M44" s="18"/>
      <c r="N44" s="4"/>
      <c r="O44" s="4"/>
    </row>
    <row r="45" spans="5:15" ht="12.75">
      <c r="E45" s="4"/>
      <c r="F45" s="14"/>
      <c r="G45" s="4"/>
      <c r="H45" s="4"/>
      <c r="I45" s="4"/>
      <c r="J45" s="4"/>
      <c r="K45" s="14"/>
      <c r="L45" s="18"/>
      <c r="M45" s="4"/>
      <c r="N45" s="4"/>
      <c r="O45" s="4"/>
    </row>
    <row r="46" spans="5:15" ht="12.75">
      <c r="E46" s="4"/>
      <c r="F46" s="14"/>
      <c r="G46" s="4"/>
      <c r="H46" s="4"/>
      <c r="I46" s="4"/>
      <c r="J46" s="4"/>
      <c r="K46" s="14"/>
      <c r="L46" s="18"/>
      <c r="M46" s="4"/>
      <c r="N46" s="4"/>
      <c r="O46" s="4"/>
    </row>
    <row r="47" spans="5:15" ht="12.75">
      <c r="E47" s="4"/>
      <c r="F47" s="14"/>
      <c r="G47" s="4"/>
      <c r="H47" s="4"/>
      <c r="I47" s="4"/>
      <c r="J47" s="4"/>
      <c r="K47" s="14"/>
      <c r="L47" s="18"/>
      <c r="M47" s="4"/>
      <c r="N47" s="4"/>
      <c r="O47" s="4"/>
    </row>
  </sheetData>
  <mergeCells count="3">
    <mergeCell ref="L26:L28"/>
    <mergeCell ref="M26:M28"/>
    <mergeCell ref="N26:N28"/>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U43"/>
  <sheetViews>
    <sheetView workbookViewId="0" topLeftCell="A1">
      <selection activeCell="A27" sqref="A27"/>
    </sheetView>
  </sheetViews>
  <sheetFormatPr defaultColWidth="9.140625" defaultRowHeight="12.75"/>
  <cols>
    <col min="1" max="1" width="53.140625" style="0" customWidth="1"/>
    <col min="4" max="4" width="1.1484375" style="8" customWidth="1"/>
    <col min="6" max="6" width="1.421875" style="8" customWidth="1"/>
    <col min="7" max="7" width="9.7109375" style="0" customWidth="1"/>
    <col min="8" max="8" width="10.140625" style="0" customWidth="1"/>
    <col min="9" max="9" width="11.57421875" style="0" customWidth="1"/>
    <col min="10" max="10" width="9.57421875" style="0" customWidth="1"/>
    <col min="11" max="11" width="1.1484375" style="8" customWidth="1"/>
    <col min="13" max="13" width="10.421875" style="0" customWidth="1"/>
    <col min="15" max="15" width="1.421875" style="8" customWidth="1"/>
    <col min="16" max="16" width="58.8515625" style="0" bestFit="1" customWidth="1"/>
  </cols>
  <sheetData>
    <row r="1" spans="1:12" ht="13.5" thickBot="1">
      <c r="A1" t="s">
        <v>0</v>
      </c>
      <c r="L1" s="16"/>
    </row>
    <row r="2" spans="12:19" ht="12.75">
      <c r="L2" s="43" t="s">
        <v>57</v>
      </c>
      <c r="M2" s="44"/>
      <c r="N2" s="44"/>
      <c r="O2" s="44"/>
      <c r="P2" s="44"/>
      <c r="Q2" s="44"/>
      <c r="R2" s="44"/>
      <c r="S2" s="45"/>
    </row>
    <row r="3" spans="12:19" ht="12.75">
      <c r="L3" s="46"/>
      <c r="M3" s="47">
        <v>46</v>
      </c>
      <c r="N3" s="48" t="s">
        <v>58</v>
      </c>
      <c r="O3" s="48"/>
      <c r="P3" s="48"/>
      <c r="Q3" s="48"/>
      <c r="R3" s="48"/>
      <c r="S3" s="49"/>
    </row>
    <row r="4" spans="12:19" ht="12.75">
      <c r="L4" s="46"/>
      <c r="M4" s="47">
        <v>50</v>
      </c>
      <c r="N4" s="48" t="s">
        <v>59</v>
      </c>
      <c r="O4" s="48"/>
      <c r="P4" s="48"/>
      <c r="Q4" s="48"/>
      <c r="R4" s="48"/>
      <c r="S4" s="49"/>
    </row>
    <row r="5" spans="12:19" ht="12.75">
      <c r="L5" s="46"/>
      <c r="M5" s="47">
        <v>2</v>
      </c>
      <c r="N5" s="48" t="s">
        <v>60</v>
      </c>
      <c r="O5" s="48"/>
      <c r="P5" s="48"/>
      <c r="Q5" s="48"/>
      <c r="R5" s="48"/>
      <c r="S5" s="49"/>
    </row>
    <row r="6" spans="12:19" ht="13.5" thickBot="1">
      <c r="L6" s="50"/>
      <c r="M6" s="51">
        <v>1</v>
      </c>
      <c r="N6" s="52" t="s">
        <v>61</v>
      </c>
      <c r="O6" s="52"/>
      <c r="P6" s="52"/>
      <c r="Q6" s="52"/>
      <c r="R6" s="52"/>
      <c r="S6" s="53"/>
    </row>
    <row r="7" spans="7:12" ht="12.75">
      <c r="G7" s="35" t="s">
        <v>39</v>
      </c>
      <c r="H7" s="35" t="s">
        <v>40</v>
      </c>
      <c r="I7" s="35" t="s">
        <v>41</v>
      </c>
      <c r="J7" s="35" t="s">
        <v>42</v>
      </c>
      <c r="L7" s="16"/>
    </row>
    <row r="8" spans="7:12" ht="12.75">
      <c r="G8" s="22"/>
      <c r="H8" s="22"/>
      <c r="I8" s="22"/>
      <c r="J8" s="22"/>
      <c r="L8" s="16"/>
    </row>
    <row r="9" spans="1:21" ht="38.25">
      <c r="A9" s="1"/>
      <c r="B9" s="3" t="s">
        <v>15</v>
      </c>
      <c r="C9" s="3" t="s">
        <v>23</v>
      </c>
      <c r="D9" s="9"/>
      <c r="E9" s="1" t="s">
        <v>2</v>
      </c>
      <c r="F9" s="13"/>
      <c r="G9" s="3" t="s">
        <v>43</v>
      </c>
      <c r="H9" s="3" t="s">
        <v>43</v>
      </c>
      <c r="I9" s="3" t="s">
        <v>43</v>
      </c>
      <c r="J9" s="3" t="s">
        <v>43</v>
      </c>
      <c r="K9" s="9"/>
      <c r="L9" s="17" t="s">
        <v>16</v>
      </c>
      <c r="M9" s="3" t="s">
        <v>3</v>
      </c>
      <c r="N9" s="3" t="s">
        <v>4</v>
      </c>
      <c r="O9" s="9"/>
      <c r="P9" s="1" t="s">
        <v>5</v>
      </c>
      <c r="Q9" s="1"/>
      <c r="R9" s="1"/>
      <c r="S9" s="1"/>
      <c r="T9" s="1"/>
      <c r="U9" s="1"/>
    </row>
    <row r="10" spans="1:12" ht="12.75">
      <c r="A10" s="2" t="s">
        <v>17</v>
      </c>
      <c r="B10" s="2"/>
      <c r="C10" s="2"/>
      <c r="D10" s="10"/>
      <c r="L10" s="16"/>
    </row>
    <row r="11" spans="1:16" ht="12.75">
      <c r="A11" t="s">
        <v>25</v>
      </c>
      <c r="B11" s="31">
        <v>6</v>
      </c>
      <c r="C11" s="31">
        <v>36</v>
      </c>
      <c r="D11" s="11"/>
      <c r="E11" s="34">
        <v>0</v>
      </c>
      <c r="F11" s="14"/>
      <c r="G11" s="33"/>
      <c r="H11" s="33"/>
      <c r="I11" s="33"/>
      <c r="J11" s="33"/>
      <c r="K11" s="15"/>
      <c r="L11" s="42">
        <f>M6</f>
        <v>1</v>
      </c>
      <c r="M11" s="24">
        <f>(E11/(B11*C11/12))*L11</f>
        <v>0</v>
      </c>
      <c r="N11" s="24">
        <f>(MIN(G11,H11,I11,J11)/(B11*C11/12))*L11</f>
        <v>0</v>
      </c>
      <c r="O11" s="14"/>
      <c r="P11" t="s">
        <v>21</v>
      </c>
    </row>
    <row r="12" spans="1:16" ht="12.75">
      <c r="A12" t="s">
        <v>22</v>
      </c>
      <c r="B12" s="31">
        <v>6</v>
      </c>
      <c r="C12" s="31">
        <v>36</v>
      </c>
      <c r="D12" s="11"/>
      <c r="E12" s="29">
        <v>42.95</v>
      </c>
      <c r="F12" s="14"/>
      <c r="G12" s="32"/>
      <c r="H12" s="33"/>
      <c r="I12" s="33"/>
      <c r="J12" s="33"/>
      <c r="K12" s="15"/>
      <c r="L12" s="42">
        <f>M6</f>
        <v>1</v>
      </c>
      <c r="M12" s="24">
        <f>(E12/(B12*C12/12))*L12</f>
        <v>2.386111111111111</v>
      </c>
      <c r="N12" s="24">
        <f>(MIN(G12,H12,I12,J12)/(B12*C12/12))*L12</f>
        <v>0</v>
      </c>
      <c r="O12" s="14"/>
      <c r="P12" t="s">
        <v>21</v>
      </c>
    </row>
    <row r="13" spans="1:16" ht="12.75">
      <c r="A13" t="s">
        <v>26</v>
      </c>
      <c r="B13" s="31">
        <v>6</v>
      </c>
      <c r="C13" s="31">
        <v>39</v>
      </c>
      <c r="D13" s="11"/>
      <c r="E13" s="29">
        <v>36.95</v>
      </c>
      <c r="F13" s="14"/>
      <c r="G13" s="32"/>
      <c r="H13" s="33"/>
      <c r="I13" s="33"/>
      <c r="J13" s="33"/>
      <c r="K13" s="15"/>
      <c r="L13" s="42">
        <f>M6</f>
        <v>1</v>
      </c>
      <c r="M13" s="24">
        <f>(E13/(B13*C13/12))*L13</f>
        <v>1.894871794871795</v>
      </c>
      <c r="N13" s="24">
        <f>(MIN(G13,H13,I13,J13)/(B13*C13/12))*L13</f>
        <v>0</v>
      </c>
      <c r="O13" s="14"/>
      <c r="P13" t="s">
        <v>24</v>
      </c>
    </row>
    <row r="14" spans="2:15" ht="12.75">
      <c r="B14" s="6"/>
      <c r="C14" s="6"/>
      <c r="D14" s="11"/>
      <c r="E14" s="4"/>
      <c r="F14" s="14"/>
      <c r="G14" s="4"/>
      <c r="H14" s="4"/>
      <c r="I14" s="4"/>
      <c r="J14" s="4"/>
      <c r="K14" s="14"/>
      <c r="L14" s="19"/>
      <c r="M14" s="4"/>
      <c r="N14" s="4"/>
      <c r="O14" s="14"/>
    </row>
    <row r="15" spans="1:15" ht="12.75">
      <c r="A15" s="2" t="s">
        <v>18</v>
      </c>
      <c r="B15" s="7"/>
      <c r="C15" s="7"/>
      <c r="D15" s="12"/>
      <c r="E15" s="4"/>
      <c r="F15" s="14"/>
      <c r="G15" s="4"/>
      <c r="H15" s="4"/>
      <c r="I15" s="4"/>
      <c r="J15" s="4"/>
      <c r="K15" s="14"/>
      <c r="L15" s="19"/>
      <c r="M15" s="4"/>
      <c r="N15" s="4"/>
      <c r="O15" s="14"/>
    </row>
    <row r="16" spans="1:16" ht="12.75">
      <c r="A16" t="s">
        <v>20</v>
      </c>
      <c r="B16" s="31">
        <v>33</v>
      </c>
      <c r="C16" s="31">
        <v>36</v>
      </c>
      <c r="D16" s="11"/>
      <c r="E16" s="29">
        <v>50.75</v>
      </c>
      <c r="F16" s="14"/>
      <c r="G16" s="32"/>
      <c r="H16" s="32"/>
      <c r="I16" s="32"/>
      <c r="J16" s="32"/>
      <c r="K16" s="14"/>
      <c r="L16" s="41">
        <f>$M$5</f>
        <v>2</v>
      </c>
      <c r="M16" s="24">
        <f>(E16/(B16*C16/12))*L16</f>
        <v>1.0252525252525253</v>
      </c>
      <c r="N16" s="24">
        <f>(MIN(G16,H16,I16,J16)/(B16*C16/12))*L16</f>
        <v>0</v>
      </c>
      <c r="O16" s="14"/>
      <c r="P16" t="s">
        <v>91</v>
      </c>
    </row>
    <row r="17" spans="1:16" ht="12.75">
      <c r="A17" t="s">
        <v>29</v>
      </c>
      <c r="B17" s="31">
        <v>33</v>
      </c>
      <c r="C17" s="31">
        <v>36</v>
      </c>
      <c r="D17" s="11"/>
      <c r="E17" s="29">
        <v>54.5</v>
      </c>
      <c r="F17" s="14"/>
      <c r="G17" s="32"/>
      <c r="H17" s="32"/>
      <c r="I17" s="32"/>
      <c r="J17" s="32"/>
      <c r="K17" s="14"/>
      <c r="L17" s="41">
        <f>$M$5</f>
        <v>2</v>
      </c>
      <c r="M17" s="24">
        <f>(E17/(B17*C17/12))*L17</f>
        <v>1.101010101010101</v>
      </c>
      <c r="N17" s="24">
        <f>(MIN(G17,H17,I17,J17)/(B17*C17/12))*L17</f>
        <v>0</v>
      </c>
      <c r="O17" s="14"/>
      <c r="P17" t="s">
        <v>92</v>
      </c>
    </row>
    <row r="18" spans="1:15" ht="12.75">
      <c r="A18" t="s">
        <v>7</v>
      </c>
      <c r="B18" s="31">
        <v>850</v>
      </c>
      <c r="C18" s="6"/>
      <c r="D18" s="11"/>
      <c r="E18" s="29">
        <v>13.95</v>
      </c>
      <c r="F18" s="14"/>
      <c r="G18" s="32"/>
      <c r="H18" s="32"/>
      <c r="I18" s="32"/>
      <c r="J18" s="32"/>
      <c r="K18" s="14"/>
      <c r="L18" s="41">
        <f>$M$3</f>
        <v>46</v>
      </c>
      <c r="M18" s="24">
        <f aca="true" t="shared" si="0" ref="M18:M23">E18/B18*L18</f>
        <v>0.7549411764705881</v>
      </c>
      <c r="N18" s="24">
        <f aca="true" t="shared" si="1" ref="N18:N23">MIN(G18,H18,I18,J18)/B18*L18</f>
        <v>0</v>
      </c>
      <c r="O18" s="14"/>
    </row>
    <row r="19" spans="1:15" ht="12.75">
      <c r="A19" t="s">
        <v>8</v>
      </c>
      <c r="B19" s="31">
        <v>850</v>
      </c>
      <c r="C19" s="6"/>
      <c r="D19" s="11"/>
      <c r="E19" s="29">
        <v>13.95</v>
      </c>
      <c r="F19" s="14"/>
      <c r="G19" s="32"/>
      <c r="H19" s="32"/>
      <c r="I19" s="32"/>
      <c r="J19" s="32"/>
      <c r="K19" s="14"/>
      <c r="L19" s="41">
        <f>$M$3</f>
        <v>46</v>
      </c>
      <c r="M19" s="24">
        <f t="shared" si="0"/>
        <v>0.7549411764705881</v>
      </c>
      <c r="N19" s="24">
        <f t="shared" si="1"/>
        <v>0</v>
      </c>
      <c r="O19" s="14"/>
    </row>
    <row r="20" spans="1:16" ht="12.75">
      <c r="A20" t="s">
        <v>9</v>
      </c>
      <c r="B20" s="31">
        <v>1000</v>
      </c>
      <c r="C20" s="6"/>
      <c r="D20" s="11"/>
      <c r="E20" s="29">
        <v>8.15</v>
      </c>
      <c r="F20" s="14"/>
      <c r="G20" s="32"/>
      <c r="H20" s="32"/>
      <c r="I20" s="32"/>
      <c r="J20" s="32"/>
      <c r="K20" s="14"/>
      <c r="L20" s="41">
        <f>$M$4</f>
        <v>50</v>
      </c>
      <c r="M20" s="24">
        <f t="shared" si="0"/>
        <v>0.40750000000000003</v>
      </c>
      <c r="N20" s="24">
        <f t="shared" si="1"/>
        <v>0</v>
      </c>
      <c r="O20" s="14"/>
      <c r="P20" t="s">
        <v>74</v>
      </c>
    </row>
    <row r="21" spans="1:16" ht="12.75">
      <c r="A21" t="s">
        <v>12</v>
      </c>
      <c r="B21" s="31">
        <v>15000</v>
      </c>
      <c r="C21" s="6"/>
      <c r="D21" s="11"/>
      <c r="E21" s="29">
        <v>95.7</v>
      </c>
      <c r="F21" s="14"/>
      <c r="G21" s="32"/>
      <c r="H21" s="32"/>
      <c r="I21" s="32"/>
      <c r="J21" s="32"/>
      <c r="K21" s="14"/>
      <c r="L21" s="41">
        <f>$M$4</f>
        <v>50</v>
      </c>
      <c r="M21" s="24">
        <f t="shared" si="0"/>
        <v>0.319</v>
      </c>
      <c r="N21" s="24">
        <f t="shared" si="1"/>
        <v>0</v>
      </c>
      <c r="O21" s="14"/>
      <c r="P21" t="s">
        <v>75</v>
      </c>
    </row>
    <row r="22" spans="1:16" ht="12.75">
      <c r="A22" t="s">
        <v>10</v>
      </c>
      <c r="B22" s="31">
        <v>800</v>
      </c>
      <c r="C22" s="6"/>
      <c r="D22" s="11"/>
      <c r="E22" s="29">
        <v>9.35</v>
      </c>
      <c r="F22" s="14"/>
      <c r="G22" s="32"/>
      <c r="H22" s="32"/>
      <c r="I22" s="32"/>
      <c r="J22" s="32"/>
      <c r="K22" s="14"/>
      <c r="L22" s="41">
        <f>$M$4</f>
        <v>50</v>
      </c>
      <c r="M22" s="24">
        <f t="shared" si="0"/>
        <v>0.584375</v>
      </c>
      <c r="N22" s="24">
        <f t="shared" si="1"/>
        <v>0</v>
      </c>
      <c r="O22" s="14"/>
      <c r="P22" t="s">
        <v>76</v>
      </c>
    </row>
    <row r="23" spans="1:16" ht="12.75">
      <c r="A23" t="s">
        <v>11</v>
      </c>
      <c r="B23" s="31">
        <v>12000</v>
      </c>
      <c r="C23" s="6"/>
      <c r="D23" s="11"/>
      <c r="E23" s="29">
        <v>117.95</v>
      </c>
      <c r="F23" s="14"/>
      <c r="G23" s="32"/>
      <c r="H23" s="32"/>
      <c r="I23" s="32"/>
      <c r="J23" s="32"/>
      <c r="K23" s="14"/>
      <c r="L23" s="41">
        <f>$M$4</f>
        <v>50</v>
      </c>
      <c r="M23" s="24">
        <f t="shared" si="0"/>
        <v>0.49145833333333333</v>
      </c>
      <c r="N23" s="24">
        <f t="shared" si="1"/>
        <v>0</v>
      </c>
      <c r="O23" s="14"/>
      <c r="P23" t="s">
        <v>77</v>
      </c>
    </row>
    <row r="24" spans="2:15" ht="12.75">
      <c r="B24" s="6"/>
      <c r="C24" s="6"/>
      <c r="D24" s="11"/>
      <c r="E24" s="4"/>
      <c r="F24" s="14"/>
      <c r="G24" s="4"/>
      <c r="H24" s="4"/>
      <c r="I24" s="4"/>
      <c r="J24" s="4"/>
      <c r="K24" s="14"/>
      <c r="L24" s="19"/>
      <c r="M24" s="4"/>
      <c r="N24" s="4"/>
      <c r="O24" s="14"/>
    </row>
    <row r="25" spans="1:15" ht="12.75">
      <c r="A25" s="2" t="s">
        <v>19</v>
      </c>
      <c r="B25" s="7"/>
      <c r="C25" s="7"/>
      <c r="D25" s="12"/>
      <c r="E25" s="4"/>
      <c r="F25" s="14"/>
      <c r="G25" s="4"/>
      <c r="H25" s="4"/>
      <c r="I25" s="4"/>
      <c r="J25" s="4"/>
      <c r="K25" s="14"/>
      <c r="L25" s="19"/>
      <c r="M25" s="4"/>
      <c r="N25" s="4"/>
      <c r="O25" s="14"/>
    </row>
    <row r="26" spans="1:15" ht="12.75">
      <c r="A26" t="s">
        <v>27</v>
      </c>
      <c r="B26" s="7"/>
      <c r="C26" s="7"/>
      <c r="D26" s="12"/>
      <c r="E26" s="4"/>
      <c r="F26" s="14"/>
      <c r="G26" s="4"/>
      <c r="H26" s="4"/>
      <c r="I26" s="4"/>
      <c r="J26" s="4"/>
      <c r="K26" s="14"/>
      <c r="L26" s="19"/>
      <c r="M26" s="24">
        <f aca="true" t="shared" si="2" ref="M26:N28">M11</f>
        <v>0</v>
      </c>
      <c r="N26" s="24">
        <f t="shared" si="2"/>
        <v>0</v>
      </c>
      <c r="O26" s="14"/>
    </row>
    <row r="27" spans="1:15" ht="12.75">
      <c r="A27" t="s">
        <v>28</v>
      </c>
      <c r="B27" s="6"/>
      <c r="C27" s="6"/>
      <c r="D27" s="11"/>
      <c r="E27" s="4"/>
      <c r="F27" s="14"/>
      <c r="G27" s="4"/>
      <c r="H27" s="4"/>
      <c r="I27" s="4"/>
      <c r="J27" s="4"/>
      <c r="K27" s="14"/>
      <c r="L27" s="19"/>
      <c r="M27" s="24">
        <f t="shared" si="2"/>
        <v>2.386111111111111</v>
      </c>
      <c r="N27" s="24">
        <f t="shared" si="2"/>
        <v>0</v>
      </c>
      <c r="O27" s="14"/>
    </row>
    <row r="28" spans="1:15" ht="12.75">
      <c r="A28" t="s">
        <v>26</v>
      </c>
      <c r="B28" s="6"/>
      <c r="C28" s="6"/>
      <c r="D28" s="11"/>
      <c r="E28" s="4"/>
      <c r="F28" s="14"/>
      <c r="G28" s="4"/>
      <c r="H28" s="4"/>
      <c r="I28" s="4"/>
      <c r="J28" s="4"/>
      <c r="K28" s="14"/>
      <c r="L28" s="19"/>
      <c r="M28" s="24">
        <f t="shared" si="2"/>
        <v>1.894871794871795</v>
      </c>
      <c r="N28" s="24">
        <f t="shared" si="2"/>
        <v>0</v>
      </c>
      <c r="O28" s="14"/>
    </row>
    <row r="29" spans="1:16" ht="12.75">
      <c r="A29" t="s">
        <v>86</v>
      </c>
      <c r="B29" s="6"/>
      <c r="C29" s="6"/>
      <c r="D29" s="11"/>
      <c r="E29" s="4"/>
      <c r="F29" s="14"/>
      <c r="G29" s="4"/>
      <c r="H29" s="4"/>
      <c r="I29" s="4"/>
      <c r="J29" s="4"/>
      <c r="K29" s="14"/>
      <c r="L29" s="19"/>
      <c r="M29" s="24">
        <f>M16+MIN(M18,M19)+M21</f>
        <v>2.0991937017231135</v>
      </c>
      <c r="N29" s="24">
        <f>N16+MIN(N18,N19)+N21</f>
        <v>0</v>
      </c>
      <c r="O29" s="14"/>
      <c r="P29" s="5" t="s">
        <v>14</v>
      </c>
    </row>
    <row r="30" spans="1:16" ht="12.75">
      <c r="A30" t="s">
        <v>85</v>
      </c>
      <c r="B30" s="6"/>
      <c r="C30" s="6"/>
      <c r="D30" s="11"/>
      <c r="E30" s="4"/>
      <c r="F30" s="14"/>
      <c r="G30" s="4"/>
      <c r="H30" s="4"/>
      <c r="I30" s="4"/>
      <c r="J30" s="4"/>
      <c r="K30" s="14"/>
      <c r="L30" s="19"/>
      <c r="M30" s="24">
        <f>M16+MIN(M18,M19)+M23</f>
        <v>2.271652035056447</v>
      </c>
      <c r="N30" s="24">
        <f>N16+MIN(N18,N19)+N23</f>
        <v>0</v>
      </c>
      <c r="O30" s="14"/>
      <c r="P30" s="5" t="s">
        <v>14</v>
      </c>
    </row>
    <row r="31" spans="1:16" ht="12.75">
      <c r="A31" t="s">
        <v>87</v>
      </c>
      <c r="E31" s="4"/>
      <c r="F31" s="14"/>
      <c r="G31" s="4"/>
      <c r="H31" s="4"/>
      <c r="I31" s="4"/>
      <c r="J31" s="4"/>
      <c r="K31" s="14"/>
      <c r="L31" s="18"/>
      <c r="M31" s="24">
        <f>M17+MIN(M18,M19)+M21</f>
        <v>2.174951277480689</v>
      </c>
      <c r="N31" s="24">
        <f>N17+MIN(N18,N19)+N21</f>
        <v>0</v>
      </c>
      <c r="O31" s="14"/>
      <c r="P31" s="5" t="s">
        <v>14</v>
      </c>
    </row>
    <row r="32" spans="1:16" ht="12.75">
      <c r="A32" t="s">
        <v>88</v>
      </c>
      <c r="E32" s="4"/>
      <c r="F32" s="14"/>
      <c r="G32" s="4"/>
      <c r="H32" s="4"/>
      <c r="I32" s="4"/>
      <c r="J32" s="4"/>
      <c r="K32" s="14"/>
      <c r="L32" s="18"/>
      <c r="M32" s="24">
        <f>M17+MIN(M18,M19)+M23</f>
        <v>2.3474096108140223</v>
      </c>
      <c r="N32" s="24">
        <f>N16+MIN(N18,N19)+N23</f>
        <v>0</v>
      </c>
      <c r="O32" s="14"/>
      <c r="P32" s="5" t="s">
        <v>14</v>
      </c>
    </row>
    <row r="33" spans="5:15" ht="12.75">
      <c r="E33" s="4"/>
      <c r="F33" s="14"/>
      <c r="G33" s="4"/>
      <c r="H33" s="4"/>
      <c r="I33" s="4"/>
      <c r="J33" s="4"/>
      <c r="K33" s="14"/>
      <c r="L33" s="18"/>
      <c r="M33" s="4"/>
      <c r="N33" s="4"/>
      <c r="O33" s="14"/>
    </row>
    <row r="34" spans="5:15" ht="12.75">
      <c r="E34" s="4"/>
      <c r="F34" s="14"/>
      <c r="G34" s="4"/>
      <c r="H34" s="4"/>
      <c r="I34" s="4"/>
      <c r="J34" s="4"/>
      <c r="K34" s="14"/>
      <c r="L34" s="18"/>
      <c r="M34" s="4"/>
      <c r="N34" s="4"/>
      <c r="O34" s="14"/>
    </row>
    <row r="35" spans="5:15" ht="12.75">
      <c r="E35" s="4"/>
      <c r="F35" s="14"/>
      <c r="G35" s="4"/>
      <c r="H35" s="4"/>
      <c r="I35" s="4"/>
      <c r="J35" s="4"/>
      <c r="K35" s="14"/>
      <c r="L35" s="18"/>
      <c r="M35" s="4"/>
      <c r="N35" s="4"/>
      <c r="O35" s="14"/>
    </row>
    <row r="36" spans="5:15" ht="12.75">
      <c r="E36" s="4"/>
      <c r="F36" s="14"/>
      <c r="G36" s="4"/>
      <c r="H36" s="4"/>
      <c r="I36" s="4"/>
      <c r="J36" s="4"/>
      <c r="K36" s="14"/>
      <c r="L36" s="18"/>
      <c r="M36" s="4"/>
      <c r="N36" s="4"/>
      <c r="O36" s="14"/>
    </row>
    <row r="37" spans="5:15" ht="12.75">
      <c r="E37" s="4"/>
      <c r="F37" s="14"/>
      <c r="G37" s="4"/>
      <c r="H37" s="4"/>
      <c r="I37" s="4"/>
      <c r="J37" s="4"/>
      <c r="K37" s="14"/>
      <c r="L37" s="18"/>
      <c r="M37" s="4"/>
      <c r="N37" s="4"/>
      <c r="O37" s="14"/>
    </row>
    <row r="38" spans="5:15" ht="12.75">
      <c r="E38" s="4"/>
      <c r="F38" s="14"/>
      <c r="G38" s="4"/>
      <c r="H38" s="4"/>
      <c r="I38" s="4"/>
      <c r="J38" s="4"/>
      <c r="K38" s="14"/>
      <c r="L38" s="18"/>
      <c r="M38" s="4"/>
      <c r="N38" s="4"/>
      <c r="O38" s="14"/>
    </row>
    <row r="39" spans="5:15" ht="12.75">
      <c r="E39" s="4"/>
      <c r="F39" s="14"/>
      <c r="G39" s="4"/>
      <c r="H39" s="4"/>
      <c r="I39" s="4"/>
      <c r="J39" s="4"/>
      <c r="K39" s="14"/>
      <c r="L39" s="18"/>
      <c r="M39" s="4"/>
      <c r="N39" s="4"/>
      <c r="O39" s="14"/>
    </row>
    <row r="40" spans="5:15" ht="12.75">
      <c r="E40" s="4"/>
      <c r="F40" s="14"/>
      <c r="G40" s="4"/>
      <c r="H40" s="4"/>
      <c r="I40" s="4"/>
      <c r="J40" s="4"/>
      <c r="K40" s="14"/>
      <c r="L40" s="18"/>
      <c r="M40" s="4"/>
      <c r="N40" s="4"/>
      <c r="O40" s="14"/>
    </row>
    <row r="41" ht="12.75">
      <c r="L41" s="16"/>
    </row>
    <row r="42" ht="12.75">
      <c r="L42" s="16"/>
    </row>
    <row r="43" ht="12.75">
      <c r="L43" s="16"/>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C4"/>
  <sheetViews>
    <sheetView workbookViewId="0" topLeftCell="A1">
      <selection activeCell="D4" sqref="D4"/>
    </sheetView>
  </sheetViews>
  <sheetFormatPr defaultColWidth="9.140625" defaultRowHeight="12.75"/>
  <cols>
    <col min="1" max="1" width="9.140625" style="6" customWidth="1"/>
    <col min="2" max="2" width="12.28125" style="6" customWidth="1"/>
    <col min="3" max="3" width="79.7109375" style="0" customWidth="1"/>
  </cols>
  <sheetData>
    <row r="1" spans="1:3" s="1" customFormat="1" ht="12.75">
      <c r="A1" s="55" t="s">
        <v>112</v>
      </c>
      <c r="B1" s="55" t="s">
        <v>109</v>
      </c>
      <c r="C1" s="1" t="s">
        <v>110</v>
      </c>
    </row>
    <row r="3" spans="1:3" ht="12.75">
      <c r="A3" s="6" t="s">
        <v>111</v>
      </c>
      <c r="B3" s="56">
        <v>37338</v>
      </c>
      <c r="C3" t="s">
        <v>113</v>
      </c>
    </row>
    <row r="4" spans="1:3" ht="12.75">
      <c r="A4" s="6" t="s">
        <v>114</v>
      </c>
      <c r="B4" s="56">
        <v>37661</v>
      </c>
      <c r="C4" t="s">
        <v>115</v>
      </c>
    </row>
  </sheetData>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Greene</dc:creator>
  <cp:keywords/>
  <dc:description/>
  <cp:lastModifiedBy>Michael Greene</cp:lastModifiedBy>
  <dcterms:created xsi:type="dcterms:W3CDTF">2002-03-15T23:44:26Z</dcterms:created>
  <dcterms:modified xsi:type="dcterms:W3CDTF">2003-02-10T11:46:10Z</dcterms:modified>
  <cp:category/>
  <cp:version/>
  <cp:contentType/>
  <cp:contentStatus/>
</cp:coreProperties>
</file>